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. Helle\TLK.DK\"/>
    </mc:Choice>
  </mc:AlternateContent>
  <bookViews>
    <workbookView xWindow="0" yWindow="0" windowWidth="21600" windowHeight="9585"/>
  </bookViews>
  <sheets>
    <sheet name="Beregningsskema" sheetId="1" r:id="rId1"/>
    <sheet name="Budget" sheetId="2" r:id="rId2"/>
    <sheet name="Skatter" sheetId="3" r:id="rId3"/>
    <sheet name="Afgifter" sheetId="4" r:id="rId4"/>
    <sheet name="Henlæggelser" sheetId="5" r:id="rId5"/>
    <sheet name="Øvrige beregninger" sheetId="6" r:id="rId6"/>
    <sheet name="Vedligehold.regnskab 2011-2013" sheetId="18" r:id="rId7"/>
    <sheet name="Vedligehold.regnskab 2013-2015" sheetId="19" r:id="rId8"/>
    <sheet name="Vedligehold.regnskab 2015-2016" sheetId="20" r:id="rId9"/>
    <sheet name="Gem i ny Flettefil.xls" sheetId="8" r:id="rId10"/>
  </sheets>
  <externalReferences>
    <externalReference r:id="rId11"/>
  </externalReferences>
  <calcPr calcId="152511"/>
</workbook>
</file>

<file path=xl/calcChain.xml><?xml version="1.0" encoding="utf-8"?>
<calcChain xmlns="http://schemas.openxmlformats.org/spreadsheetml/2006/main">
  <c r="F15" i="1" l="1"/>
  <c r="F16" i="1"/>
  <c r="F17" i="1"/>
  <c r="F18" i="1"/>
  <c r="H6" i="8"/>
  <c r="F19" i="1"/>
  <c r="F20" i="1"/>
  <c r="F21" i="1"/>
  <c r="F14" i="1"/>
  <c r="H5" i="8"/>
  <c r="H9" i="8"/>
  <c r="F43" i="2"/>
  <c r="F42" i="2"/>
  <c r="F41" i="2"/>
  <c r="P49" i="19"/>
  <c r="M41" i="19"/>
  <c r="M40" i="19"/>
  <c r="A40" i="20"/>
  <c r="P34" i="20"/>
  <c r="M26" i="20"/>
  <c r="M25" i="20"/>
  <c r="P19" i="20"/>
  <c r="M11" i="20"/>
  <c r="M10" i="20"/>
  <c r="A3" i="20"/>
  <c r="I213" i="6"/>
  <c r="I156" i="6"/>
  <c r="I116" i="6"/>
  <c r="G96" i="6"/>
  <c r="I72" i="6"/>
  <c r="I69" i="6"/>
  <c r="I66" i="6"/>
  <c r="J61" i="5"/>
  <c r="J56" i="5"/>
  <c r="J57" i="5"/>
  <c r="F58" i="5"/>
  <c r="E42" i="2"/>
  <c r="G42" i="2"/>
  <c r="J50" i="5"/>
  <c r="J45" i="5"/>
  <c r="J46" i="5"/>
  <c r="G25" i="2"/>
  <c r="F10" i="3"/>
  <c r="I32" i="3"/>
  <c r="I212" i="6"/>
  <c r="I155" i="6"/>
  <c r="I115" i="6"/>
  <c r="I73" i="6"/>
  <c r="I70" i="6"/>
  <c r="I31" i="3"/>
  <c r="A3" i="19"/>
  <c r="M10" i="19"/>
  <c r="P11" i="19"/>
  <c r="M11" i="19"/>
  <c r="P19" i="19"/>
  <c r="M25" i="19"/>
  <c r="M26" i="19"/>
  <c r="P34" i="19"/>
  <c r="A67" i="19"/>
  <c r="G86" i="6"/>
  <c r="G87" i="6"/>
  <c r="G88" i="6"/>
  <c r="G89" i="6"/>
  <c r="G90" i="6"/>
  <c r="G91" i="6"/>
  <c r="G92" i="6"/>
  <c r="G93" i="6"/>
  <c r="G94" i="6"/>
  <c r="G95" i="6"/>
  <c r="I107" i="6"/>
  <c r="I108" i="6"/>
  <c r="I109" i="6"/>
  <c r="I110" i="6"/>
  <c r="I111" i="6"/>
  <c r="I112" i="6"/>
  <c r="I113" i="6"/>
  <c r="I114" i="6"/>
  <c r="I201" i="6"/>
  <c r="I202" i="6"/>
  <c r="I203" i="6"/>
  <c r="I204" i="6"/>
  <c r="I205" i="6"/>
  <c r="I206" i="6"/>
  <c r="I207" i="6"/>
  <c r="I208" i="6"/>
  <c r="I209" i="6"/>
  <c r="I210" i="6"/>
  <c r="I211" i="6"/>
  <c r="I167" i="6"/>
  <c r="I168" i="6"/>
  <c r="I169" i="6"/>
  <c r="I170" i="6"/>
  <c r="I171" i="6"/>
  <c r="I172" i="6"/>
  <c r="I173" i="6"/>
  <c r="I174" i="6"/>
  <c r="I149" i="6"/>
  <c r="I150" i="6"/>
  <c r="I151" i="6"/>
  <c r="I152" i="6"/>
  <c r="I153" i="6"/>
  <c r="I154" i="6"/>
  <c r="D6" i="3"/>
  <c r="D8" i="3"/>
  <c r="D9" i="3"/>
  <c r="D10" i="3"/>
  <c r="M55" i="18"/>
  <c r="P56" i="18"/>
  <c r="M56" i="18"/>
  <c r="P63" i="18"/>
  <c r="M10" i="18"/>
  <c r="P11" i="18"/>
  <c r="M11" i="18"/>
  <c r="P19" i="18"/>
  <c r="P21" i="18"/>
  <c r="P36" i="18"/>
  <c r="P51" i="18"/>
  <c r="P65" i="18"/>
  <c r="P6" i="19"/>
  <c r="M25" i="18"/>
  <c r="P26" i="18"/>
  <c r="M26" i="18"/>
  <c r="P34" i="18"/>
  <c r="M40" i="18"/>
  <c r="M41" i="18"/>
  <c r="P41" i="18"/>
  <c r="P49" i="18"/>
  <c r="A3" i="18"/>
  <c r="A68" i="18"/>
  <c r="I23" i="3"/>
  <c r="I24" i="3"/>
  <c r="I25" i="3"/>
  <c r="I26" i="3"/>
  <c r="I27" i="3"/>
  <c r="I28" i="3"/>
  <c r="I29" i="3"/>
  <c r="I30" i="3"/>
  <c r="F11" i="3"/>
  <c r="I11" i="3"/>
  <c r="I20" i="3"/>
  <c r="G6" i="2"/>
  <c r="I22" i="3"/>
  <c r="D25" i="6"/>
  <c r="D32" i="6"/>
  <c r="I29" i="6"/>
  <c r="I30" i="6"/>
  <c r="I31" i="6"/>
  <c r="H5" i="5"/>
  <c r="H8" i="5"/>
  <c r="H26" i="5"/>
  <c r="E34" i="2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D28" i="5"/>
  <c r="J28" i="5"/>
  <c r="J31" i="5"/>
  <c r="J40" i="5"/>
  <c r="J29" i="5"/>
  <c r="J33" i="5"/>
  <c r="J35" i="5"/>
  <c r="G69" i="6"/>
  <c r="I195" i="6"/>
  <c r="I196" i="6"/>
  <c r="I197" i="6"/>
  <c r="I198" i="6"/>
  <c r="I199" i="6"/>
  <c r="I160" i="6"/>
  <c r="I161" i="6"/>
  <c r="I162" i="6"/>
  <c r="I163" i="6"/>
  <c r="I164" i="6"/>
  <c r="I165" i="6"/>
  <c r="I100" i="6"/>
  <c r="I101" i="6"/>
  <c r="I102" i="6"/>
  <c r="I103" i="6"/>
  <c r="I104" i="6"/>
  <c r="G80" i="6"/>
  <c r="G81" i="6"/>
  <c r="G82" i="6"/>
  <c r="G83" i="6"/>
  <c r="I67" i="6"/>
  <c r="F38" i="6"/>
  <c r="F49" i="6"/>
  <c r="F50" i="6"/>
  <c r="A2" i="4"/>
  <c r="K26" i="4"/>
  <c r="K20" i="4"/>
  <c r="K11" i="4"/>
  <c r="K17" i="4"/>
  <c r="K21" i="4"/>
  <c r="G7" i="2"/>
  <c r="K18" i="4"/>
  <c r="K19" i="4"/>
  <c r="K8" i="4"/>
  <c r="K9" i="4"/>
  <c r="A33" i="4"/>
  <c r="A31" i="4"/>
  <c r="A3" i="4"/>
  <c r="J62" i="5"/>
  <c r="F63" i="5"/>
  <c r="H5" i="1"/>
  <c r="X23" i="1"/>
  <c r="V23" i="1"/>
  <c r="T23" i="1"/>
  <c r="R23" i="1"/>
  <c r="AC23" i="1"/>
  <c r="D23" i="1"/>
  <c r="G61" i="2"/>
  <c r="F18" i="3"/>
  <c r="I18" i="3"/>
  <c r="I38" i="6"/>
  <c r="I39" i="6"/>
  <c r="D19" i="6"/>
  <c r="I20" i="6"/>
  <c r="G12" i="2"/>
  <c r="I48" i="6"/>
  <c r="I49" i="6"/>
  <c r="I50" i="6"/>
  <c r="G14" i="2"/>
  <c r="B53" i="6"/>
  <c r="I53" i="6"/>
  <c r="G15" i="2"/>
  <c r="G19" i="2"/>
  <c r="A2" i="2"/>
  <c r="F44" i="2"/>
  <c r="F31" i="2"/>
  <c r="F35" i="2"/>
  <c r="G36" i="2"/>
  <c r="C42" i="2"/>
  <c r="A4" i="8"/>
  <c r="B4" i="8"/>
  <c r="C4" i="8"/>
  <c r="D4" i="8"/>
  <c r="E4" i="8"/>
  <c r="F4" i="8"/>
  <c r="M4" i="8"/>
  <c r="O4" i="8"/>
  <c r="P4" i="8"/>
  <c r="Q4" i="8"/>
  <c r="S4" i="8"/>
  <c r="T4" i="8"/>
  <c r="U4" i="8"/>
  <c r="A5" i="8"/>
  <c r="B5" i="8"/>
  <c r="C5" i="8"/>
  <c r="D5" i="8"/>
  <c r="E5" i="8"/>
  <c r="F5" i="8"/>
  <c r="M5" i="8"/>
  <c r="O5" i="8"/>
  <c r="P5" i="8"/>
  <c r="Q5" i="8"/>
  <c r="S5" i="8"/>
  <c r="T5" i="8"/>
  <c r="U5" i="8"/>
  <c r="A6" i="8"/>
  <c r="B6" i="8"/>
  <c r="C6" i="8"/>
  <c r="D6" i="8"/>
  <c r="E6" i="8"/>
  <c r="F6" i="8"/>
  <c r="M6" i="8"/>
  <c r="O6" i="8"/>
  <c r="P6" i="8"/>
  <c r="Q6" i="8"/>
  <c r="S6" i="8"/>
  <c r="T6" i="8"/>
  <c r="U6" i="8"/>
  <c r="A7" i="8"/>
  <c r="B7" i="8"/>
  <c r="C7" i="8"/>
  <c r="D7" i="8"/>
  <c r="E7" i="8"/>
  <c r="F7" i="8"/>
  <c r="M7" i="8"/>
  <c r="O7" i="8"/>
  <c r="P7" i="8"/>
  <c r="Q7" i="8"/>
  <c r="S7" i="8"/>
  <c r="T7" i="8"/>
  <c r="U7" i="8"/>
  <c r="A8" i="8"/>
  <c r="B8" i="8"/>
  <c r="C8" i="8"/>
  <c r="D8" i="8"/>
  <c r="E8" i="8"/>
  <c r="F8" i="8"/>
  <c r="M8" i="8"/>
  <c r="O8" i="8"/>
  <c r="P8" i="8"/>
  <c r="Q8" i="8"/>
  <c r="S8" i="8"/>
  <c r="T8" i="8"/>
  <c r="U8" i="8"/>
  <c r="A9" i="8"/>
  <c r="B9" i="8"/>
  <c r="C9" i="8"/>
  <c r="D9" i="8"/>
  <c r="E9" i="8"/>
  <c r="F9" i="8"/>
  <c r="M9" i="8"/>
  <c r="O9" i="8"/>
  <c r="P9" i="8"/>
  <c r="Q9" i="8"/>
  <c r="S9" i="8"/>
  <c r="T9" i="8"/>
  <c r="U9" i="8"/>
  <c r="A3" i="8"/>
  <c r="B3" i="8"/>
  <c r="C3" i="8"/>
  <c r="D3" i="8"/>
  <c r="E3" i="8"/>
  <c r="F3" i="8"/>
  <c r="M3" i="8"/>
  <c r="O3" i="8"/>
  <c r="P3" i="8"/>
  <c r="Q3" i="8"/>
  <c r="S3" i="8"/>
  <c r="T3" i="8"/>
  <c r="U3" i="8"/>
  <c r="U2" i="8"/>
  <c r="T2" i="8"/>
  <c r="S2" i="8"/>
  <c r="Q2" i="8"/>
  <c r="P2" i="8"/>
  <c r="O2" i="8"/>
  <c r="M2" i="8"/>
  <c r="F2" i="8"/>
  <c r="E2" i="8"/>
  <c r="D2" i="8"/>
  <c r="C2" i="8"/>
  <c r="B2" i="8"/>
  <c r="A2" i="8"/>
  <c r="H51" i="5"/>
  <c r="H57" i="5"/>
  <c r="H62" i="5"/>
  <c r="A61" i="5"/>
  <c r="A2" i="5"/>
  <c r="G46" i="5"/>
  <c r="A50" i="5"/>
  <c r="A56" i="5"/>
  <c r="H6" i="5"/>
  <c r="A2" i="3"/>
  <c r="F20" i="3"/>
  <c r="D16" i="3"/>
  <c r="D17" i="3"/>
  <c r="D14" i="3"/>
  <c r="A37" i="3"/>
  <c r="A35" i="3"/>
  <c r="A5" i="6"/>
  <c r="G44" i="6"/>
  <c r="G45" i="6"/>
  <c r="G46" i="6"/>
  <c r="G47" i="6"/>
  <c r="G48" i="6"/>
  <c r="A6" i="6"/>
  <c r="H4" i="8"/>
  <c r="H7" i="8"/>
  <c r="H8" i="8"/>
  <c r="H3" i="8"/>
  <c r="K10" i="4"/>
  <c r="J42" i="5"/>
  <c r="J44" i="5"/>
  <c r="C43" i="2"/>
  <c r="C41" i="2"/>
  <c r="H49" i="5"/>
  <c r="J49" i="5"/>
  <c r="G54" i="5"/>
  <c r="H55" i="5"/>
  <c r="J55" i="5"/>
  <c r="G48" i="5"/>
  <c r="J51" i="5"/>
  <c r="F52" i="5"/>
  <c r="E41" i="2"/>
  <c r="F23" i="1"/>
  <c r="H2" i="8"/>
  <c r="F46" i="2"/>
  <c r="P26" i="20"/>
  <c r="P11" i="20"/>
  <c r="P41" i="19"/>
  <c r="P26" i="19"/>
  <c r="P21" i="19"/>
  <c r="P36" i="19"/>
  <c r="P51" i="19"/>
  <c r="P6" i="20"/>
  <c r="P21" i="20"/>
  <c r="I26" i="6"/>
  <c r="G13" i="2"/>
  <c r="I33" i="6"/>
  <c r="I40" i="6"/>
  <c r="I41" i="6"/>
  <c r="G10" i="2"/>
  <c r="N14" i="1"/>
  <c r="N19" i="1"/>
  <c r="L7" i="8"/>
  <c r="N18" i="1"/>
  <c r="L6" i="8"/>
  <c r="E43" i="2"/>
  <c r="G43" i="2"/>
  <c r="N16" i="1"/>
  <c r="L4" i="8"/>
  <c r="N17" i="1"/>
  <c r="L5" i="8"/>
  <c r="N21" i="1"/>
  <c r="L9" i="8"/>
  <c r="N15" i="1"/>
  <c r="L3" i="8"/>
  <c r="N20" i="1"/>
  <c r="L8" i="8"/>
  <c r="V5" i="1"/>
  <c r="G41" i="2"/>
  <c r="G44" i="2"/>
  <c r="K12" i="4"/>
  <c r="G11" i="2"/>
  <c r="P36" i="20"/>
  <c r="G31" i="2"/>
  <c r="G35" i="2"/>
  <c r="G46" i="2"/>
  <c r="L2" i="8"/>
  <c r="N23" i="1"/>
  <c r="P16" i="1"/>
  <c r="K4" i="8"/>
  <c r="P19" i="1"/>
  <c r="K7" i="8"/>
  <c r="P14" i="1"/>
  <c r="P20" i="1"/>
  <c r="K8" i="8"/>
  <c r="P17" i="1"/>
  <c r="K5" i="8"/>
  <c r="P15" i="1"/>
  <c r="K3" i="8"/>
  <c r="P18" i="1"/>
  <c r="K6" i="8"/>
  <c r="P21" i="1"/>
  <c r="K9" i="8"/>
  <c r="G37" i="2"/>
  <c r="G48" i="2"/>
  <c r="F6" i="1"/>
  <c r="L16" i="1"/>
  <c r="AA16" i="1"/>
  <c r="N4" i="8"/>
  <c r="F62" i="2"/>
  <c r="P23" i="1"/>
  <c r="K2" i="8"/>
  <c r="L15" i="1"/>
  <c r="J15" i="1"/>
  <c r="J16" i="1"/>
  <c r="L21" i="1"/>
  <c r="J9" i="8"/>
  <c r="J4" i="8"/>
  <c r="L14" i="1"/>
  <c r="J2" i="8"/>
  <c r="L17" i="1"/>
  <c r="L19" i="1"/>
  <c r="J7" i="8"/>
  <c r="L20" i="1"/>
  <c r="J20" i="1"/>
  <c r="I8" i="8"/>
  <c r="L18" i="1"/>
  <c r="AA18" i="1"/>
  <c r="N6" i="8"/>
  <c r="J19" i="1"/>
  <c r="I7" i="8"/>
  <c r="AA19" i="1"/>
  <c r="N7" i="8"/>
  <c r="AA17" i="1"/>
  <c r="N5" i="8"/>
  <c r="J14" i="1"/>
  <c r="H14" i="1"/>
  <c r="AA14" i="1"/>
  <c r="N2" i="8"/>
  <c r="AA15" i="1"/>
  <c r="N3" i="8"/>
  <c r="J3" i="8"/>
  <c r="J6" i="8"/>
  <c r="J21" i="1"/>
  <c r="I9" i="8"/>
  <c r="J18" i="1"/>
  <c r="I6" i="8"/>
  <c r="H16" i="1"/>
  <c r="G4" i="8"/>
  <c r="I4" i="8"/>
  <c r="I3" i="8"/>
  <c r="H15" i="1"/>
  <c r="G3" i="8"/>
  <c r="H19" i="1"/>
  <c r="G7" i="8"/>
  <c r="L23" i="1"/>
  <c r="AA23" i="1"/>
  <c r="J26" i="1"/>
  <c r="R26" i="1"/>
  <c r="H20" i="1"/>
  <c r="G8" i="8"/>
  <c r="J8" i="8"/>
  <c r="J17" i="1"/>
  <c r="J5" i="8"/>
  <c r="AA20" i="1"/>
  <c r="N8" i="8"/>
  <c r="AA21" i="1"/>
  <c r="N9" i="8"/>
  <c r="H21" i="1"/>
  <c r="G9" i="8"/>
  <c r="I2" i="8"/>
  <c r="H18" i="1"/>
  <c r="G6" i="8"/>
  <c r="J23" i="1"/>
  <c r="G2" i="8"/>
  <c r="I5" i="8"/>
  <c r="H17" i="1"/>
  <c r="G5" i="8"/>
  <c r="H23" i="1"/>
</calcChain>
</file>

<file path=xl/sharedStrings.xml><?xml version="1.0" encoding="utf-8"?>
<sst xmlns="http://schemas.openxmlformats.org/spreadsheetml/2006/main" count="955" uniqueCount="437">
  <si>
    <t>Afsætning til indvendig vedligeholdelse:</t>
  </si>
  <si>
    <t>kr. pr. kvm.</t>
  </si>
  <si>
    <t>Afsætning til udvendig vedligeholdelse:</t>
  </si>
  <si>
    <t>Budgetleje   for   år</t>
  </si>
  <si>
    <t xml:space="preserve">kr. </t>
  </si>
  <si>
    <t>Mdl. mod.forhøjelser</t>
  </si>
  <si>
    <t>Årlig</t>
  </si>
  <si>
    <t xml:space="preserve">Afsat </t>
  </si>
  <si>
    <t>Afsat</t>
  </si>
  <si>
    <t>Over</t>
  </si>
  <si>
    <t>Vurde-</t>
  </si>
  <si>
    <t>omk.</t>
  </si>
  <si>
    <t>Ny årlig</t>
  </si>
  <si>
    <t>Mdl.</t>
  </si>
  <si>
    <t>til ind-</t>
  </si>
  <si>
    <t>til ud-</t>
  </si>
  <si>
    <t xml:space="preserve">gang </t>
  </si>
  <si>
    <t>rings-</t>
  </si>
  <si>
    <t>Omk.</t>
  </si>
  <si>
    <t>lejefor-</t>
  </si>
  <si>
    <t>budget-</t>
  </si>
  <si>
    <t>vendig</t>
  </si>
  <si>
    <t xml:space="preserve">fra gas </t>
  </si>
  <si>
    <t>Termo</t>
  </si>
  <si>
    <t>Brand</t>
  </si>
  <si>
    <t>A conto</t>
  </si>
  <si>
    <t>I alt</t>
  </si>
  <si>
    <t>Areal</t>
  </si>
  <si>
    <t>Nr.</t>
  </si>
  <si>
    <t>Etage</t>
  </si>
  <si>
    <t>Lejere:</t>
  </si>
  <si>
    <t>leje</t>
  </si>
  <si>
    <t>højelse</t>
  </si>
  <si>
    <t>vedlh.</t>
  </si>
  <si>
    <t xml:space="preserve">til el </t>
  </si>
  <si>
    <t>vinduer</t>
  </si>
  <si>
    <t>sikring</t>
  </si>
  <si>
    <t>varme</t>
  </si>
  <si>
    <t>pr. måned</t>
  </si>
  <si>
    <t>i kvm.</t>
  </si>
  <si>
    <t>st.tv.</t>
  </si>
  <si>
    <t>Anders Andersen</t>
  </si>
  <si>
    <t>st.th.</t>
  </si>
  <si>
    <t>Børge Bentzen</t>
  </si>
  <si>
    <t>1.tv.</t>
  </si>
  <si>
    <t>Charley Christensen</t>
  </si>
  <si>
    <t>1.th.</t>
  </si>
  <si>
    <t>Dorthe Digmann</t>
  </si>
  <si>
    <t>2.tv.</t>
  </si>
  <si>
    <t>Egon Eriksen</t>
  </si>
  <si>
    <t>2.th.</t>
  </si>
  <si>
    <t>Finn Frederiksen</t>
  </si>
  <si>
    <t>3.tv.</t>
  </si>
  <si>
    <t>Gunna Gregersen</t>
  </si>
  <si>
    <t>3.th.</t>
  </si>
  <si>
    <t>Hans Hansen</t>
  </si>
  <si>
    <t>I alt:</t>
  </si>
  <si>
    <t>Den samlede årlige leje udgør :</t>
  </si>
  <si>
    <t>kr.</t>
  </si>
  <si>
    <t>eller pr. kvm:</t>
  </si>
  <si>
    <t xml:space="preserve"> </t>
  </si>
  <si>
    <t>Preben Kjær Pedersen</t>
  </si>
  <si>
    <t>Beregning af omkostningsbestemt leje vedr. ejendommen</t>
  </si>
  <si>
    <t>Seneste budget</t>
  </si>
  <si>
    <t>Driftsudgifter:</t>
  </si>
  <si>
    <t>Evt. bemærkninger</t>
  </si>
  <si>
    <t>Ejendomsskatter og renovation</t>
  </si>
  <si>
    <t>Vand og kloakafgifter</t>
  </si>
  <si>
    <t>Skorstensfejning</t>
  </si>
  <si>
    <t>Elevatoreftersyn</t>
  </si>
  <si>
    <t>Udgifter til varmeregnskab</t>
  </si>
  <si>
    <t>Eludgift til vaskeri og trappelys</t>
  </si>
  <si>
    <t>Vicevært, varmemester og gårdmand</t>
  </si>
  <si>
    <t>Administrationsudgifter</t>
  </si>
  <si>
    <t>Udgifter til ejendomsforsikringer</t>
  </si>
  <si>
    <t>Diverse</t>
  </si>
  <si>
    <t>Kapitalafkast:</t>
  </si>
  <si>
    <t>7 % af ejendomsværdien pr. 15. alm.</t>
  </si>
  <si>
    <t>vurdering pr. 1.4.1973:         kr.</t>
  </si>
  <si>
    <t xml:space="preserve"> + reguleret tillæg</t>
  </si>
  <si>
    <t xml:space="preserve"> + forbedringsforhøjelser:</t>
  </si>
  <si>
    <t xml:space="preserve"> + 1/3 af henlæggelsesbeløb pr. 31.12.</t>
  </si>
  <si>
    <t>1994 + reguleringer:</t>
  </si>
  <si>
    <t xml:space="preserve">eller </t>
  </si>
  <si>
    <t>% af prioritets-</t>
  </si>
  <si>
    <r>
      <t xml:space="preserve">ydelser m.m. </t>
    </r>
    <r>
      <rPr>
        <sz val="8"/>
        <rFont val="Times New Roman"/>
        <family val="1"/>
      </rPr>
      <t>(for ejendommen taget i brug</t>
    </r>
  </si>
  <si>
    <t>efter 1.1.1964)</t>
  </si>
  <si>
    <r>
      <t xml:space="preserve">Udgifter i alt </t>
    </r>
    <r>
      <rPr>
        <sz val="8"/>
        <rFont val="Times New Roman"/>
        <family val="1"/>
      </rPr>
      <t>(excl. vedligeholdelse)</t>
    </r>
  </si>
  <si>
    <t>Boligernes andel</t>
  </si>
  <si>
    <r>
      <t xml:space="preserve">i budgettets udgifter udgør: </t>
    </r>
    <r>
      <rPr>
        <sz val="8"/>
        <rFont val="Times New Roman"/>
        <family val="1"/>
      </rPr>
      <t>1)</t>
    </r>
  </si>
  <si>
    <t>Budgetleje:</t>
  </si>
  <si>
    <r>
      <t xml:space="preserve">Nuværende lejeindtægt </t>
    </r>
    <r>
      <rPr>
        <sz val="8"/>
        <rFont val="Times New Roman"/>
        <family val="1"/>
      </rPr>
      <t>excl. vedligehold.</t>
    </r>
  </si>
  <si>
    <r>
      <t>Nødvendig lejeforhøjelse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>excl. vedligeholdelse</t>
    </r>
  </si>
  <si>
    <t>Vedligeholdelse for boliglejlighederne:</t>
  </si>
  <si>
    <t>§18:</t>
  </si>
  <si>
    <t>kvm. á  kr.</t>
  </si>
  <si>
    <t>§18b:</t>
  </si>
  <si>
    <t>Indv:</t>
  </si>
  <si>
    <t>Vedligeholdelse i alt:</t>
  </si>
  <si>
    <t>Omkostningsbestemt leje i alt:</t>
  </si>
  <si>
    <t>Omkostningsbestemt lejeforhøjelse i alt:</t>
  </si>
  <si>
    <r>
      <t>1)</t>
    </r>
    <r>
      <rPr>
        <sz val="10"/>
        <rFont val="Times New Roman"/>
        <family val="1"/>
      </rPr>
      <t xml:space="preserve"> Budgettets udgifter er fordelt mellem beboelse og erhverv i forhold til bruttoetagearealerne, jf. Bo-</t>
    </r>
  </si>
  <si>
    <t>ligreguleringslovens § 11. I en overgangsperiode kan der være taget udgangspunkt i lejen pr. 1/3 1975</t>
  </si>
  <si>
    <t>med tillæg af 1 procentpoint for hvert år siden 1994.</t>
  </si>
  <si>
    <t>Budgetlejen fordeles på de enkelte beboelseslejligheder:</t>
  </si>
  <si>
    <t xml:space="preserve">efter </t>
  </si>
  <si>
    <t>bruttoetageareal, idet beboelseslejlighedernes samlede bruttoetageareal er:</t>
  </si>
  <si>
    <t>kvm.</t>
  </si>
  <si>
    <t>vi får:</t>
  </si>
  <si>
    <t xml:space="preserve">Budgetleje:                        </t>
  </si>
  <si>
    <t>Bruttoareal for beboelse:</t>
  </si>
  <si>
    <t>x</t>
  </si>
  <si>
    <t>efter</t>
  </si>
  <si>
    <t xml:space="preserve">vurderingslejen, idet beboelseslejlighedernes  </t>
  </si>
  <si>
    <t>samlede vurderingsleje er                       kr.:</t>
  </si>
  <si>
    <t xml:space="preserve">Budgetleje:                           </t>
  </si>
  <si>
    <t>kr. pr. vurderingskrone.</t>
  </si>
  <si>
    <t>Den samlede vurderingsleje:</t>
  </si>
  <si>
    <t>fordelingsnøgle som fremgår af vedlagte bilag.</t>
  </si>
  <si>
    <t>Beregning af ejendomsskatter og renovation for ejendommen</t>
  </si>
  <si>
    <t>Ejendomsskatter   for   år</t>
  </si>
  <si>
    <t>Grundskyld:</t>
  </si>
  <si>
    <t>af</t>
  </si>
  <si>
    <t xml:space="preserve"> =</t>
  </si>
  <si>
    <t xml:space="preserve">Renovation for år </t>
  </si>
  <si>
    <t xml:space="preserve">Renovationsudgiften for </t>
  </si>
  <si>
    <t>sættes lig med</t>
  </si>
  <si>
    <t xml:space="preserve">renovationsudgiften for </t>
  </si>
  <si>
    <t xml:space="preserve">   +   pristillæg på </t>
  </si>
  <si>
    <t>Ejendomsskatter og renovation i alt for år:</t>
  </si>
  <si>
    <t>Beregning af el- og vandafgifter for ejendommen</t>
  </si>
  <si>
    <t>El-afgift:</t>
  </si>
  <si>
    <t>Forventet årsforbrug:</t>
  </si>
  <si>
    <t>kwt. á  kr.</t>
  </si>
  <si>
    <t xml:space="preserve"> +  fast afgift:</t>
  </si>
  <si>
    <t xml:space="preserve"> x</t>
  </si>
  <si>
    <t xml:space="preserve"> - vaskemønter</t>
  </si>
  <si>
    <t>El-afgift i alt:</t>
  </si>
  <si>
    <t>Vand- og kloakafgift:</t>
  </si>
  <si>
    <t>kbm. á  kr.</t>
  </si>
  <si>
    <t>Vand- og kloakafgift i alt:</t>
  </si>
  <si>
    <t>Vaskemønter:</t>
  </si>
  <si>
    <t>der fordeles på elafgiften med:</t>
  </si>
  <si>
    <t>og på vand- og kloakafgiften med:</t>
  </si>
  <si>
    <t>Beregning af henlæggelser til fornyelser i ejendommen</t>
  </si>
  <si>
    <t>Ejendommens samlede bruttoetageareal:</t>
  </si>
  <si>
    <t>Heraf udgør beboelseslejlighederne:</t>
  </si>
  <si>
    <t>og erhvervslejemålene udgør:</t>
  </si>
  <si>
    <t>Den teoretiske boligprocent bliver da:</t>
  </si>
  <si>
    <t xml:space="preserve"> %</t>
  </si>
  <si>
    <t>Boligprocenten før den 1.1.1995:</t>
  </si>
  <si>
    <t>Boligprocent efter den 1.1.1995:</t>
  </si>
  <si>
    <t>Boligprocent efter den 1.1.1996:</t>
  </si>
  <si>
    <t>Boligprocent efter den 1.1.1997:</t>
  </si>
  <si>
    <t>Boligprocent efter den 1.1.1998:</t>
  </si>
  <si>
    <t>Boligprocent efter den 1.1.1999:</t>
  </si>
  <si>
    <t>Boligprocent efter den 1.1.2000:</t>
  </si>
  <si>
    <t>Boligprocent efter den 1.1.2001:</t>
  </si>
  <si>
    <t>Centralvarmeanlæg:</t>
  </si>
  <si>
    <t>kvm. à kr.</t>
  </si>
  <si>
    <t>stk. varmtvandsbeholdere a kr.</t>
  </si>
  <si>
    <t>automatik til kr.</t>
  </si>
  <si>
    <t>Centralvarmeanlæg i alt:</t>
  </si>
  <si>
    <t>Vaskerianlæg:</t>
  </si>
  <si>
    <t>stk. vaskemaskiner á kr.</t>
  </si>
  <si>
    <t>Elkomfurer:</t>
  </si>
  <si>
    <t>stk. elkomfurer á kr.</t>
  </si>
  <si>
    <t>Emhætter:</t>
  </si>
  <si>
    <t>Ellevatorer:</t>
  </si>
  <si>
    <t>Henlæggelser i alt:</t>
  </si>
  <si>
    <t>Henlæggelser i alt pr. kvm. bruttoetageareal:</t>
  </si>
  <si>
    <t xml:space="preserve"> 1/3</t>
  </si>
  <si>
    <t>af henlæggelser i alt udgør som tillæg til kapitalafkastet</t>
  </si>
  <si>
    <t>Tillæg til kapitalafkastet i alt for år:</t>
  </si>
  <si>
    <t xml:space="preserve">af henlæggelser i alt pr. kvm. eller kr.  </t>
  </si>
  <si>
    <t>tillægges § 18-henlæggelsesbeløbene</t>
  </si>
  <si>
    <t>således at disse bliver kr.:</t>
  </si>
  <si>
    <t xml:space="preserve">          +</t>
  </si>
  <si>
    <t>Henlæggelser til § 18 i alt pr. kvm. Bruttoetageareal, år:</t>
  </si>
  <si>
    <t>der afrundes til</t>
  </si>
  <si>
    <r>
      <t xml:space="preserve"> </t>
    </r>
    <r>
      <rPr>
        <b/>
        <sz val="10"/>
        <rFont val="Times New Roman"/>
        <family val="1"/>
      </rPr>
      <t>1/3</t>
    </r>
  </si>
  <si>
    <t>tillægges § 18b-henlæggelsesbeløbene</t>
  </si>
  <si>
    <t xml:space="preserve">   27,50    +   kr.   12,00 + </t>
  </si>
  <si>
    <t>Henlæggelser til § 18b i alt pr. kvm. Bruttoetageareal, år:</t>
  </si>
  <si>
    <t xml:space="preserve">Beregninger af viceværtsudgifter, administrationsudgifter samt </t>
  </si>
  <si>
    <t>varmeregnskabsudgifter, forsikringer og diverse for ejendommen</t>
  </si>
  <si>
    <t>Udgifter til vicevært, gårdmand m.v.</t>
  </si>
  <si>
    <t>Fremmed vicevært:</t>
  </si>
  <si>
    <t>Lønudgift pr. måned kr.:</t>
  </si>
  <si>
    <t>eller på årsbasis   kr.</t>
  </si>
  <si>
    <t xml:space="preserve"> + ferietillæg:    </t>
  </si>
  <si>
    <t>Udgift til telefon:</t>
  </si>
  <si>
    <t>Anden udgift:</t>
  </si>
  <si>
    <t>Udgifter i alt til fremmed vicevært:</t>
  </si>
  <si>
    <t>Er udlejeren selv vicevært kan han i budgettet beregne sig kr.</t>
  </si>
  <si>
    <t>pr. beboelseslejlighed.</t>
  </si>
  <si>
    <t xml:space="preserve">Da der er </t>
  </si>
  <si>
    <t xml:space="preserve">beboelseslejligheder medfører det en samlet </t>
  </si>
  <si>
    <t>budgetudgiftspost på:</t>
  </si>
  <si>
    <t>Administrationsudgift:</t>
  </si>
  <si>
    <t>Udgift til varmeregnskab:</t>
  </si>
  <si>
    <t>Sidste års udgift til udfærdigelse af varmeregnskab:          kr.</t>
  </si>
  <si>
    <t>(beløbet skal være renset for moms og flyttegebyrer)</t>
  </si>
  <si>
    <t>Forventet stigning i år:</t>
  </si>
  <si>
    <t>I alt excl. moms:</t>
  </si>
  <si>
    <t>moms</t>
  </si>
  <si>
    <t>Forsikringsudgifter:</t>
  </si>
  <si>
    <t>Brandforsikring, præmieudgift år:</t>
  </si>
  <si>
    <t>Grundejerforsikring, præmieudgt år:</t>
  </si>
  <si>
    <t>Glasforsikring, præmieudgift år:</t>
  </si>
  <si>
    <t>Arbejdsskadesfors., præmieudgift år:</t>
  </si>
  <si>
    <t>Forsikringsudgift i alt for år:</t>
  </si>
  <si>
    <t>Diverse:</t>
  </si>
  <si>
    <t>beboelseslejligheder á kr.</t>
  </si>
  <si>
    <t xml:space="preserve">   =     kr.</t>
  </si>
  <si>
    <t xml:space="preserve">Regnskab for udvendig vedligeholdelse for ejendommen </t>
  </si>
  <si>
    <t>§ 18:</t>
  </si>
  <si>
    <t xml:space="preserve"> /</t>
  </si>
  <si>
    <t xml:space="preserve">af </t>
  </si>
  <si>
    <t>á</t>
  </si>
  <si>
    <t>§ 18b:</t>
  </si>
  <si>
    <t>Murerarbejde</t>
  </si>
  <si>
    <t>VVS-arbejde</t>
  </si>
  <si>
    <t>Tømrerarbejde</t>
  </si>
  <si>
    <t>§ 18 b:</t>
  </si>
  <si>
    <t>Hvidevareservice</t>
  </si>
  <si>
    <t>Lejernavn</t>
  </si>
  <si>
    <t>Adresse</t>
  </si>
  <si>
    <t>By</t>
  </si>
  <si>
    <t>Bruttoetageareal</t>
  </si>
  <si>
    <t>Vurderingsleje</t>
  </si>
  <si>
    <t>Forhøjelse</t>
  </si>
  <si>
    <t>Førleje</t>
  </si>
  <si>
    <t>Nyleje</t>
  </si>
  <si>
    <t>Omkbestleje</t>
  </si>
  <si>
    <t>Udvendigvedl</t>
  </si>
  <si>
    <t>Indvendigvedl</t>
  </si>
  <si>
    <t>Acontovarme</t>
  </si>
  <si>
    <t>Månedsbetaling</t>
  </si>
  <si>
    <t>Tekstforhøj1</t>
  </si>
  <si>
    <t>Tekstforhøj2</t>
  </si>
  <si>
    <t>Tekstforhøj3</t>
  </si>
  <si>
    <t>Tekstforhøj4</t>
  </si>
  <si>
    <t>Beløbforhøj1</t>
  </si>
  <si>
    <t>Beløbforhøj2</t>
  </si>
  <si>
    <t>Beløbforhøj3</t>
  </si>
  <si>
    <t>Beløbforhøj4</t>
  </si>
  <si>
    <t>Boligprocent efter den 1.1.2002:</t>
  </si>
  <si>
    <t xml:space="preserve">Vimmersvej 4, </t>
  </si>
  <si>
    <t>Boligprocent efter den 1.1.2003:</t>
  </si>
  <si>
    <t xml:space="preserve">Indvendig vedligeholdelse: </t>
  </si>
  <si>
    <t>Der henlægges, jf. LL § 22:</t>
  </si>
  <si>
    <t>Henlæggelser til LL § 22 i alt pr. kvm. Bruttoetageareal, år:</t>
  </si>
  <si>
    <t xml:space="preserve">Forventet stigning for </t>
  </si>
  <si>
    <t xml:space="preserve">Forsikringsudgift i alt for </t>
  </si>
  <si>
    <t>Boligprocent efter den 1.1.2004:</t>
  </si>
  <si>
    <t>Regulering af andre beløb:</t>
  </si>
  <si>
    <t>BRL. § 23, der i 1994 udgjorde:  kr.</t>
  </si>
  <si>
    <t>der afrundes til:       kr.</t>
  </si>
  <si>
    <t>BRL. § 26, der i 1994 udgjorde:  kr.</t>
  </si>
  <si>
    <t>Påkravsgebyr:</t>
  </si>
  <si>
    <t>Moderniseringsbeløb i h.t. BRL § 5, stk. 2:</t>
  </si>
  <si>
    <t>Før 2001 udgjorde beløbet pr. kvm:</t>
  </si>
  <si>
    <t>I 2001 udgjorde beløbet pr. kvm:</t>
  </si>
  <si>
    <t>I 2002 udgjorde beløbet pr. kvm:</t>
  </si>
  <si>
    <t>I 2003 udgjorde beløbet pr. kvm:</t>
  </si>
  <si>
    <t>I 2004 udgjorde beløbet pr. kvm:</t>
  </si>
  <si>
    <t>Før 2001 udgjorde beløbet i alt pr. lejlighed:</t>
  </si>
  <si>
    <t>I 2001 udgjorde beløbet i alt pr. lejlighed:</t>
  </si>
  <si>
    <t>I 2002 udgjorde beløbet i alt pr. lejlighed:</t>
  </si>
  <si>
    <t>I 2003 udgjorde beløbet i alt pr. lejlighed:</t>
  </si>
  <si>
    <t>I 2004 udgjorde beløbet i alt pr. lejlighed:</t>
  </si>
  <si>
    <t>Boligprocent efter den 1.1.2005:</t>
  </si>
  <si>
    <t>I 2005 udgjorde beløbet pr. kvm:</t>
  </si>
  <si>
    <t>I 2005 udgjorde beløbet i alt pr. lejlighed:</t>
  </si>
  <si>
    <t>Forbedringsforhøjelse ved egen fiansiering:</t>
  </si>
  <si>
    <t>Boligprocent efter den 1.1.2006:</t>
  </si>
  <si>
    <t>Påkravsgebyr, jf. lejelovens § 93, stk. 2:</t>
  </si>
  <si>
    <t>I 1994 udgjorde påkravsgebyret ved for sen betaling:</t>
  </si>
  <si>
    <t>I 1995 udgjorde påkravsgebyret ved for sen betaling:</t>
  </si>
  <si>
    <t>I 1996 udgjorde påkravsgebyret ved for sen betaling:</t>
  </si>
  <si>
    <t>I 1997 udgjorde påkravsgebyret ved for sen betaling:</t>
  </si>
  <si>
    <t>I 1998 udgjorde påkravsgebyret ved for sen betaling:</t>
  </si>
  <si>
    <t>I 1999 udgjorde påkravsgebyret ved for sen betaling:</t>
  </si>
  <si>
    <t>I 2000 udgjorde påkravsgebyret ved for sen betaling:</t>
  </si>
  <si>
    <t>I 2001 udgjorde påkravsgebyret ved for sen betaling:</t>
  </si>
  <si>
    <t>I 2002 udgjorde påkravsgebyret ved for sen betaling:</t>
  </si>
  <si>
    <t>I 2003 udgjorde påkravsgebyret ved for sen betaling:</t>
  </si>
  <si>
    <t>I 2004 udgjorde påkravsgebyret ved for sen betaling:</t>
  </si>
  <si>
    <t>I 2005 udgjorde påkravsgebyret ved for sen betaling:</t>
  </si>
  <si>
    <t>Huslejenævnsgebyr, jf. BRL § 39, stk. 1:</t>
  </si>
  <si>
    <t>I 2001 udgjorde huslejenævnsgebyret:</t>
  </si>
  <si>
    <t>I 2002 udgjorde huslejenævnsgebyret:</t>
  </si>
  <si>
    <t>I 2003 udgjorde huslejenævnsgebyret:</t>
  </si>
  <si>
    <t>I 2004 udgjorde huslejenævnsgebyret:</t>
  </si>
  <si>
    <t>I 2005 udgjorde huslejenævnsgebyret:</t>
  </si>
  <si>
    <t>Før 2001 udgjorde huslejenævnsgebyret:</t>
  </si>
  <si>
    <t>Ankenævnsgebyr, jf. BRL § 44, stk. 4:</t>
  </si>
  <si>
    <t>I 1997 udgjorde ankenævnsgebyret:</t>
  </si>
  <si>
    <t>I 1998 udgjorde ankenævnsgebyret:</t>
  </si>
  <si>
    <t>I 1999 udgjorde ankenævnsgebyret:</t>
  </si>
  <si>
    <t>I 2000 udgjorde ankenævnsgebyret:</t>
  </si>
  <si>
    <t>I 2001 udgjorde ankenævnsgebyret:</t>
  </si>
  <si>
    <t>I 2002 udgjorde ankenævnsgebyret:</t>
  </si>
  <si>
    <t>I 2003 udgjorde ankenævnsgebyret:</t>
  </si>
  <si>
    <t>I 2004 udgjorde ankenævnsgebyret:</t>
  </si>
  <si>
    <t>I 2005 udgjorde ankenævnsgebyret:</t>
  </si>
  <si>
    <t>I 1996 udgjorde ankenævnsgebyret:</t>
  </si>
  <si>
    <t>Ejendomsværdi  pr.   1.10.</t>
  </si>
  <si>
    <t>heraf grundværdi pr. 1.10.</t>
  </si>
  <si>
    <t>Boligprocent efter den 1.1.2007:</t>
  </si>
  <si>
    <t>I 2006 udgjorde påkravsgebyret ved for sen betaling:</t>
  </si>
  <si>
    <t>I 2006 udgjorde huslejenævnsgebyret:</t>
  </si>
  <si>
    <t>I 2006 udgjorde ankenævnsgebyret:</t>
  </si>
  <si>
    <t>*)</t>
  </si>
  <si>
    <t>hvis der udsendes 6 regninger om året</t>
  </si>
  <si>
    <t>I 2006 udgjorde beløbet pr. kvm:</t>
  </si>
  <si>
    <t>I 2007 udgjorde beløbet pr. kvm:</t>
  </si>
  <si>
    <t>I 2006 udgjorde beløbet i alt pr. lejlighed:</t>
  </si>
  <si>
    <t>I 2007 udgjorde beløbet i alt pr. lejlighed:</t>
  </si>
  <si>
    <t>I 2007 udgjorde påkravsgebyret ved for sen betaling:</t>
  </si>
  <si>
    <t>I 2007 udgjorde huslejenævnsgebyret:</t>
  </si>
  <si>
    <t>I 2007 udgjorde ankenævnsgebyret:</t>
  </si>
  <si>
    <t>Boligprocent efter den 1.1.2008:</t>
  </si>
  <si>
    <t>Boligprocent efter den 1.1.2009:</t>
  </si>
  <si>
    <t>I 2008 udgjorde beløbet pr. kvm:</t>
  </si>
  <si>
    <t>I 2008 udgjorde beløbet i alt pr. lejlighed:</t>
  </si>
  <si>
    <t>I 2008 udgjorde påkravsgebyret ved for sen betaling:</t>
  </si>
  <si>
    <t>I 2008 udgjorde huslejenævnsgebyret:</t>
  </si>
  <si>
    <t>I 2008 udgjorde ankenævnsgebyret:</t>
  </si>
  <si>
    <t>Blikkenslagerarbejde</t>
  </si>
  <si>
    <t>Boligprocent efter den 1.1.2010:</t>
  </si>
  <si>
    <t>I 2009 udgjorde beløbet pr. kvm:</t>
  </si>
  <si>
    <t>I 2009 udgjorde beløbet i alt pr. lejlighed:</t>
  </si>
  <si>
    <t>Fra 1. juni 2009 er påkravsgebyret ændret til:</t>
  </si>
  <si>
    <t>1.1. - 31.5. 2009 udgjorde påkravsgebyret ved for sen betaling:</t>
  </si>
  <si>
    <t>I 2009 udgjorde huslejenævnsgebyret:</t>
  </si>
  <si>
    <t>I 2009 udgjorde ankenævnsgebyret:</t>
  </si>
  <si>
    <t>Aktuel budget</t>
  </si>
  <si>
    <t>For 2010 udgør påkravsgebyret ved for sen betaling:</t>
  </si>
  <si>
    <t>Boligprocent efter den 1.1.2011:</t>
  </si>
  <si>
    <t>Egen administration:</t>
  </si>
  <si>
    <t>Fremmed administration:</t>
  </si>
  <si>
    <t>Hertil kommer moms:</t>
  </si>
  <si>
    <t>Huslejenævnet i Århus godkender pr. beboelseslejlighed:             kr.</t>
  </si>
  <si>
    <t>I 2010 udgjorde beløbet pr. kvm:</t>
  </si>
  <si>
    <t>I 2010 udgjorde beløbet i alt pr. lejlighed:</t>
  </si>
  <si>
    <t>fra 10. juni 2010.</t>
  </si>
  <si>
    <t>I 2010 udgjorde huslejenævnsgebyret:</t>
  </si>
  <si>
    <t>I 2010 udgjorde ankenævnsgebyret:</t>
  </si>
  <si>
    <t>I 2011 udgjorde beløbet pr. kvm:</t>
  </si>
  <si>
    <t>I 2011 udgjorde beløbet i alt pr. lejlighed:</t>
  </si>
  <si>
    <t>For 2011 udgjorde påkravsgebyret ved for sen betaling:</t>
  </si>
  <si>
    <t>I 2011 udgjorde huslejenævnsgebyret:</t>
  </si>
  <si>
    <t>I 2011 udgjorde ankenævnsgebyret:</t>
  </si>
  <si>
    <t>Regulering</t>
  </si>
  <si>
    <t>716.300,00 + 4,6 %</t>
  </si>
  <si>
    <t>749.249,80 + 4,9 %</t>
  </si>
  <si>
    <t>785.963,04 + 4,7 %</t>
  </si>
  <si>
    <t>822.903,30 + 7 %</t>
  </si>
  <si>
    <t>880.506,53 + 7 %</t>
  </si>
  <si>
    <t xml:space="preserve">Grundskatteloftsværdi pr. </t>
  </si>
  <si>
    <t>942.141,99 + 4,3 %</t>
  </si>
  <si>
    <t>982.654,10 + 7 %</t>
  </si>
  <si>
    <t>Saldo pr. 30.6.2011</t>
  </si>
  <si>
    <t>Afsat på kontoen 1.7. - 31.12.2011:</t>
  </si>
  <si>
    <t>Forbrug på kontoen 1.7. - 31.12.2011:</t>
  </si>
  <si>
    <t>Saldo pr. 31.12.2011:</t>
  </si>
  <si>
    <t>Afsat på kontoen 1.1. - 30.6. 2012:</t>
  </si>
  <si>
    <t>Forbrug på kontoen 1.1. - 30.6. 2012:</t>
  </si>
  <si>
    <t>Saldo pr. 30.6. 2012:</t>
  </si>
  <si>
    <t>I 2012 udgjorde beløbet i alt pr. lejlighed:</t>
  </si>
  <si>
    <t>I 2012 udgjorde beløbet pr. kvm:</t>
  </si>
  <si>
    <t>For 2012 udgjorde påkravsgebyret ved for sen betaling:</t>
  </si>
  <si>
    <t>I 2012 udgjorde huslejenævnsgebyret:</t>
  </si>
  <si>
    <t>I 2012 udgjorde ankenævnsgebyret:</t>
  </si>
  <si>
    <t>For 2013 udgjorde påkravsgebyret ved for sen betaling:</t>
  </si>
  <si>
    <t>I 2013 udgjorde beløbet pr. kvm:</t>
  </si>
  <si>
    <t>I 2013 udgjorde beløbet i alt pr. lejlighed:</t>
  </si>
  <si>
    <t>I 2013 udgjorde huslejenævnsgebyret:</t>
  </si>
  <si>
    <t>I 2013 udgjorde ankenævnsgebyret:</t>
  </si>
  <si>
    <t>Afsat på kontoen 1.7. - 31.12.2012:</t>
  </si>
  <si>
    <t>Forbrug på kontoen 1.7. - 31.12.2012:</t>
  </si>
  <si>
    <t>Saldo pr. 31.12.2012:</t>
  </si>
  <si>
    <t>Afsat på kontoen 1.1. - 30.6. 2013:</t>
  </si>
  <si>
    <t>Forbrug på kontoen 1.1. - 30.6. 2013:</t>
  </si>
  <si>
    <t>Saldo pr. 30.6. 2013:</t>
  </si>
  <si>
    <t>1.051.439,88 + 7 %</t>
  </si>
  <si>
    <t>For 2014 udgjorde påkravsgebyret ved for sen betaling:</t>
  </si>
  <si>
    <t>I 2014 udgjorde huslejenævnsgebyret:</t>
  </si>
  <si>
    <t>I 2014 udgjorde ankenævnsgebyret:</t>
  </si>
  <si>
    <t>I 2014 udgjorde beløbet i alt pr. lejlighed:</t>
  </si>
  <si>
    <t>I 2014 udgjorde beløbet pr. kvm:</t>
  </si>
  <si>
    <t>Saldo pr. 30.6.2013</t>
  </si>
  <si>
    <t>Afsat på kontoen 1.7. - 31.12.2013:</t>
  </si>
  <si>
    <t>Forbrug på kontoen 1.7. - 31.12.2013:</t>
  </si>
  <si>
    <t>Saldo pr. 31.12.2013:</t>
  </si>
  <si>
    <t>pr. 21.09.2015</t>
  </si>
  <si>
    <t>1.125.040,68 + 5 %</t>
  </si>
  <si>
    <t>1.181.292,71 + 5 %</t>
  </si>
  <si>
    <t>I 2015 udgjorde beløbet pr. kvm:</t>
  </si>
  <si>
    <t>I 2015 udgjorde beløbet i alt pr. lejlighed:</t>
  </si>
  <si>
    <t>For 2015 udgjorde påkravsgebyret ved for sen betaling:</t>
  </si>
  <si>
    <t>I 2015 udgjorde ankenævnsgebyret:</t>
  </si>
  <si>
    <t>I 2015 udgjorde huslejenævnsgebyret indtil 1.7.2015:</t>
  </si>
  <si>
    <t>Fra og med 1.7.2015 udgjorde huslejenævnsgebyret</t>
  </si>
  <si>
    <t>Fra og med 1.1.2016 udgør huslejenævnsgebyret</t>
  </si>
  <si>
    <t xml:space="preserve">Beregningsskema pr.1.1.2017 vedr. ejendommen </t>
  </si>
  <si>
    <t>8000 Aarhus C.</t>
  </si>
  <si>
    <t>pr. 04.09.2016</t>
  </si>
  <si>
    <t>1.240.357,35 + 5%</t>
  </si>
  <si>
    <t>Aarhus, den  03. 9. 2016</t>
  </si>
  <si>
    <t>0,7%, 2,0%, 1,3%, 2,4%, 1,5%, 1,9%, 3,5%, 2,5%, 2,1%, 2,3%, 1.5%, 1,9%, 2,2%, 1,6%, 4,2%, 2,0%,1,5%, 2,8%,1,6%, 1,0%, 0,8%, 0.8% og 0,5% eller i alt:</t>
  </si>
  <si>
    <t>pr. kvm, udgør i 2017 kr.</t>
  </si>
  <si>
    <t>I 2017 udgør beløbet pr. kvm:</t>
  </si>
  <si>
    <t>I 2016 udgjorde beløbet pr. kvm:</t>
  </si>
  <si>
    <t>I 2017 udgør beløbet i alt pr. lejlighed:</t>
  </si>
  <si>
    <t>I 2016 udgjorde beløbet i alt pr. lejlighed:</t>
  </si>
  <si>
    <t>For 2017 udgør påkravsgebyret ved for sen betaling:</t>
  </si>
  <si>
    <t>For 2016 udgjorde påkravsgebyret ved for sen betaling:</t>
  </si>
  <si>
    <t>Fra og med 1.1.2017 udgør huslejenævnsgebyret</t>
  </si>
  <si>
    <t>I 2016 udgjorde ankenævnsgebyret:</t>
  </si>
  <si>
    <t>Udgør for 2017:</t>
  </si>
  <si>
    <t>For 2017 udgjør ankenævnsgebyret:</t>
  </si>
  <si>
    <t>Afsat på kontoen 1.1. - 31.12. 2014:</t>
  </si>
  <si>
    <t>Forbrug på kontoen 1.1. - 31.12. 2014:</t>
  </si>
  <si>
    <t>Saldo pr. 31.12. 2014:</t>
  </si>
  <si>
    <t>Afsat på kontoen 1.1. - 30.6.2015:</t>
  </si>
  <si>
    <t>Forbrug på kontoen 1.1. - 30.6.2015:</t>
  </si>
  <si>
    <t>Saldo pr. 30.6.2015:</t>
  </si>
  <si>
    <t>Saldo pr. 30.6.2015</t>
  </si>
  <si>
    <t>Afsat på kontoen 1.7. - 31.12.2015:</t>
  </si>
  <si>
    <t>Forbrug på kontoen 1.7. - 31.12.2015:</t>
  </si>
  <si>
    <t>Saldo pr. 31.12.2015:</t>
  </si>
  <si>
    <t>Afsat på kontoen 1.1. - 30.6. 2016:</t>
  </si>
  <si>
    <t>Forbrug på kontoen 1.1. - 30.6. 2016:</t>
  </si>
  <si>
    <t>Saldo pr. 30.6. 2016: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</si>
</sst>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1" formatCode="_(* #,##0.00_);_(* \(#,##0.00\);_(* &quot;-&quot;??_);_(@_)"/>
    <numFmt numFmtId="185" formatCode="_(* #,##0_);_(* \(#,##0\);_(* &quot;-&quot;??_);_(@_)"/>
    <numFmt numFmtId="187" formatCode="0.0000"/>
    <numFmt numFmtId="188" formatCode="0.000"/>
    <numFmt numFmtId="196" formatCode="0.0000%"/>
  </numFmts>
  <fonts count="33">
    <font>
      <sz val="10"/>
      <name val="Dutch"/>
    </font>
    <font>
      <sz val="10"/>
      <name val="Dutch"/>
    </font>
    <font>
      <b/>
      <sz val="12"/>
      <name val="Times New Roman"/>
    </font>
    <font>
      <sz val="12"/>
      <name val="Times New Roman"/>
      <family val="1"/>
    </font>
    <font>
      <b/>
      <u/>
      <sz val="12"/>
      <name val="Times New Roman"/>
      <family val="1"/>
    </font>
    <font>
      <b/>
      <sz val="10"/>
      <name val="Times New Roman"/>
    </font>
    <font>
      <sz val="10"/>
      <name val="Times New Roman"/>
      <family val="1"/>
    </font>
    <font>
      <sz val="10"/>
      <name val="Times New Roman"/>
    </font>
    <font>
      <b/>
      <u/>
      <sz val="12"/>
      <color indexed="10"/>
      <name val="Dutch"/>
    </font>
    <font>
      <sz val="11"/>
      <name val="Times New Roman"/>
      <family val="1"/>
    </font>
    <font>
      <b/>
      <u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7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u/>
      <sz val="8"/>
      <name val="Times New Roman"/>
      <family val="1"/>
    </font>
    <font>
      <b/>
      <sz val="10"/>
      <color indexed="10"/>
      <name val="Times New Roman"/>
      <family val="1"/>
    </font>
    <font>
      <b/>
      <u/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17"/>
      <name val="Times New Roman"/>
      <family val="1"/>
    </font>
    <font>
      <sz val="14"/>
      <color indexed="17"/>
      <name val="Times New Roman"/>
      <family val="1"/>
    </font>
    <font>
      <sz val="9"/>
      <color indexed="10"/>
      <name val="Times New Roman"/>
      <family val="1"/>
    </font>
    <font>
      <sz val="9"/>
      <color indexed="17"/>
      <name val="Times New Roman"/>
      <family val="1"/>
    </font>
    <font>
      <b/>
      <sz val="9"/>
      <name val="Times New Roman"/>
      <family val="1"/>
    </font>
    <font>
      <sz val="8"/>
      <color indexed="17"/>
      <name val="Times New Roman"/>
      <family val="1"/>
    </font>
    <font>
      <sz val="8"/>
      <color indexed="10"/>
      <name val="Times New Roman"/>
      <family val="1"/>
    </font>
    <font>
      <sz val="10"/>
      <color rgb="FF00B050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193">
    <xf numFmtId="0" fontId="0" fillId="0" borderId="0" xfId="0"/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/>
    <xf numFmtId="0" fontId="6" fillId="0" borderId="0" xfId="0" applyFont="1"/>
    <xf numFmtId="171" fontId="6" fillId="0" borderId="0" xfId="1" applyFont="1"/>
    <xf numFmtId="0" fontId="6" fillId="0" borderId="1" xfId="0" applyFont="1" applyBorder="1"/>
    <xf numFmtId="171" fontId="6" fillId="0" borderId="1" xfId="1" applyFont="1" applyBorder="1"/>
    <xf numFmtId="0" fontId="6" fillId="0" borderId="0" xfId="0" applyFont="1" applyBorder="1"/>
    <xf numFmtId="171" fontId="6" fillId="0" borderId="0" xfId="0" applyNumberFormat="1" applyFont="1"/>
    <xf numFmtId="0" fontId="6" fillId="0" borderId="2" xfId="0" applyFont="1" applyBorder="1"/>
    <xf numFmtId="0" fontId="7" fillId="0" borderId="0" xfId="0" applyFont="1"/>
    <xf numFmtId="171" fontId="7" fillId="0" borderId="0" xfId="1" applyFont="1"/>
    <xf numFmtId="0" fontId="7" fillId="0" borderId="1" xfId="0" applyFont="1" applyBorder="1"/>
    <xf numFmtId="0" fontId="7" fillId="0" borderId="0" xfId="0" applyFont="1" applyBorder="1"/>
    <xf numFmtId="171" fontId="7" fillId="0" borderId="0" xfId="1" applyFont="1" applyBorder="1"/>
    <xf numFmtId="0" fontId="6" fillId="0" borderId="0" xfId="0" applyFont="1" applyAlignment="1">
      <alignment horizontal="centerContinuous"/>
    </xf>
    <xf numFmtId="0" fontId="9" fillId="0" borderId="0" xfId="0" applyFont="1"/>
    <xf numFmtId="185" fontId="9" fillId="0" borderId="0" xfId="1" applyNumberFormat="1" applyFont="1"/>
    <xf numFmtId="0" fontId="8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/>
    <xf numFmtId="10" fontId="12" fillId="0" borderId="0" xfId="0" applyNumberFormat="1" applyFont="1"/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71" fontId="12" fillId="0" borderId="0" xfId="1" applyFont="1"/>
    <xf numFmtId="0" fontId="13" fillId="0" borderId="0" xfId="0" applyFont="1"/>
    <xf numFmtId="171" fontId="13" fillId="0" borderId="2" xfId="1" applyFont="1" applyBorder="1"/>
    <xf numFmtId="0" fontId="13" fillId="0" borderId="0" xfId="0" applyFont="1" applyAlignment="1">
      <alignment horizontal="center"/>
    </xf>
    <xf numFmtId="9" fontId="12" fillId="0" borderId="0" xfId="0" applyNumberFormat="1" applyFont="1"/>
    <xf numFmtId="171" fontId="13" fillId="0" borderId="1" xfId="1" applyFont="1" applyBorder="1"/>
    <xf numFmtId="171" fontId="13" fillId="0" borderId="0" xfId="0" applyNumberFormat="1" applyFont="1"/>
    <xf numFmtId="171" fontId="13" fillId="0" borderId="2" xfId="0" applyNumberFormat="1" applyFont="1" applyBorder="1"/>
    <xf numFmtId="171" fontId="12" fillId="0" borderId="1" xfId="1" applyFont="1" applyBorder="1"/>
    <xf numFmtId="0" fontId="14" fillId="0" borderId="0" xfId="0" applyFont="1" applyBorder="1" applyAlignment="1">
      <alignment horizontal="centerContinuous"/>
    </xf>
    <xf numFmtId="0" fontId="15" fillId="0" borderId="1" xfId="0" applyFont="1" applyBorder="1" applyAlignment="1">
      <alignment horizontal="centerContinuous"/>
    </xf>
    <xf numFmtId="0" fontId="16" fillId="0" borderId="0" xfId="0" applyFont="1"/>
    <xf numFmtId="0" fontId="17" fillId="0" borderId="3" xfId="0" applyFont="1" applyBorder="1"/>
    <xf numFmtId="0" fontId="16" fillId="0" borderId="3" xfId="0" applyFont="1" applyBorder="1"/>
    <xf numFmtId="0" fontId="14" fillId="0" borderId="0" xfId="0" applyFont="1"/>
    <xf numFmtId="0" fontId="6" fillId="0" borderId="4" xfId="0" applyFont="1" applyBorder="1"/>
    <xf numFmtId="0" fontId="11" fillId="0" borderId="3" xfId="0" applyFont="1" applyBorder="1" applyAlignment="1">
      <alignment horizontal="centerContinuous"/>
    </xf>
    <xf numFmtId="0" fontId="16" fillId="0" borderId="1" xfId="0" applyFont="1" applyBorder="1"/>
    <xf numFmtId="0" fontId="16" fillId="0" borderId="5" xfId="0" applyFont="1" applyBorder="1"/>
    <xf numFmtId="0" fontId="16" fillId="0" borderId="0" xfId="0" applyFont="1" applyBorder="1"/>
    <xf numFmtId="171" fontId="12" fillId="0" borderId="3" xfId="1" applyFont="1" applyBorder="1"/>
    <xf numFmtId="171" fontId="13" fillId="0" borderId="3" xfId="1" applyFont="1" applyBorder="1"/>
    <xf numFmtId="0" fontId="6" fillId="0" borderId="3" xfId="0" applyFont="1" applyBorder="1"/>
    <xf numFmtId="185" fontId="12" fillId="0" borderId="0" xfId="1" applyNumberFormat="1" applyFont="1"/>
    <xf numFmtId="171" fontId="6" fillId="0" borderId="3" xfId="1" applyFont="1" applyBorder="1"/>
    <xf numFmtId="171" fontId="13" fillId="0" borderId="3" xfId="1" applyNumberFormat="1" applyFont="1" applyBorder="1"/>
    <xf numFmtId="171" fontId="6" fillId="0" borderId="5" xfId="1" applyFont="1" applyBorder="1"/>
    <xf numFmtId="171" fontId="13" fillId="0" borderId="5" xfId="1" applyFont="1" applyBorder="1"/>
    <xf numFmtId="0" fontId="14" fillId="0" borderId="1" xfId="0" applyFont="1" applyBorder="1"/>
    <xf numFmtId="10" fontId="13" fillId="0" borderId="0" xfId="0" applyNumberFormat="1" applyFont="1"/>
    <xf numFmtId="0" fontId="18" fillId="0" borderId="0" xfId="0" applyFont="1" applyBorder="1"/>
    <xf numFmtId="0" fontId="9" fillId="0" borderId="0" xfId="0" applyFont="1" applyBorder="1"/>
    <xf numFmtId="0" fontId="13" fillId="0" borderId="0" xfId="0" applyFont="1" applyAlignment="1">
      <alignment horizontal="left"/>
    </xf>
    <xf numFmtId="0" fontId="12" fillId="0" borderId="0" xfId="0" applyFont="1"/>
    <xf numFmtId="1" fontId="13" fillId="0" borderId="0" xfId="0" applyNumberFormat="1" applyFont="1" applyAlignment="1">
      <alignment horizontal="left"/>
    </xf>
    <xf numFmtId="171" fontId="12" fillId="0" borderId="5" xfId="1" applyFont="1" applyBorder="1"/>
    <xf numFmtId="0" fontId="18" fillId="0" borderId="1" xfId="0" applyFont="1" applyBorder="1"/>
    <xf numFmtId="0" fontId="14" fillId="0" borderId="0" xfId="0" applyFont="1" applyBorder="1"/>
    <xf numFmtId="171" fontId="6" fillId="0" borderId="0" xfId="1" applyFont="1" applyBorder="1"/>
    <xf numFmtId="171" fontId="13" fillId="0" borderId="4" xfId="1" applyFont="1" applyBorder="1"/>
    <xf numFmtId="171" fontId="13" fillId="0" borderId="6" xfId="1" applyFont="1" applyBorder="1"/>
    <xf numFmtId="0" fontId="6" fillId="0" borderId="7" xfId="0" applyFont="1" applyBorder="1"/>
    <xf numFmtId="0" fontId="16" fillId="0" borderId="0" xfId="0" applyFont="1" applyAlignment="1">
      <alignment horizontal="right"/>
    </xf>
    <xf numFmtId="0" fontId="19" fillId="0" borderId="0" xfId="0" applyFont="1"/>
    <xf numFmtId="0" fontId="6" fillId="0" borderId="0" xfId="0" applyFont="1" applyAlignment="1"/>
    <xf numFmtId="171" fontId="13" fillId="0" borderId="0" xfId="1" applyFont="1"/>
    <xf numFmtId="0" fontId="14" fillId="0" borderId="0" xfId="0" applyFont="1" applyAlignment="1">
      <alignment horizontal="centerContinuous"/>
    </xf>
    <xf numFmtId="0" fontId="11" fillId="0" borderId="1" xfId="0" applyFont="1" applyBorder="1" applyAlignment="1">
      <alignment horizontal="centerContinuous"/>
    </xf>
    <xf numFmtId="0" fontId="20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9" fontId="12" fillId="0" borderId="0" xfId="0" applyNumberFormat="1" applyFont="1" applyAlignment="1">
      <alignment horizontal="center"/>
    </xf>
    <xf numFmtId="0" fontId="11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5" fillId="0" borderId="0" xfId="0" applyFont="1" applyBorder="1" applyAlignment="1">
      <alignment horizontal="centerContinuous"/>
    </xf>
    <xf numFmtId="171" fontId="13" fillId="0" borderId="0" xfId="1" applyFont="1" applyBorder="1"/>
    <xf numFmtId="171" fontId="13" fillId="0" borderId="1" xfId="0" applyNumberFormat="1" applyFont="1" applyBorder="1"/>
    <xf numFmtId="171" fontId="13" fillId="0" borderId="0" xfId="0" applyNumberFormat="1" applyFont="1" applyBorder="1"/>
    <xf numFmtId="171" fontId="12" fillId="0" borderId="0" xfId="0" applyNumberFormat="1" applyFont="1" applyBorder="1"/>
    <xf numFmtId="0" fontId="21" fillId="0" borderId="0" xfId="0" applyFont="1"/>
    <xf numFmtId="9" fontId="6" fillId="0" borderId="0" xfId="0" applyNumberFormat="1" applyFont="1"/>
    <xf numFmtId="0" fontId="6" fillId="0" borderId="0" xfId="0" applyFont="1" applyAlignment="1">
      <alignment horizontal="left"/>
    </xf>
    <xf numFmtId="171" fontId="12" fillId="0" borderId="0" xfId="1" applyFont="1" applyAlignment="1">
      <alignment horizontal="left"/>
    </xf>
    <xf numFmtId="171" fontId="12" fillId="0" borderId="0" xfId="1" applyFont="1" applyAlignment="1"/>
    <xf numFmtId="16" fontId="11" fillId="0" borderId="0" xfId="0" applyNumberFormat="1" applyFont="1"/>
    <xf numFmtId="171" fontId="6" fillId="0" borderId="0" xfId="1" applyFont="1" applyAlignment="1">
      <alignment horizontal="center"/>
    </xf>
    <xf numFmtId="171" fontId="13" fillId="0" borderId="0" xfId="1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6" fillId="0" borderId="8" xfId="0" applyFont="1" applyBorder="1"/>
    <xf numFmtId="0" fontId="6" fillId="0" borderId="9" xfId="0" applyFont="1" applyBorder="1"/>
    <xf numFmtId="0" fontId="6" fillId="0" borderId="9" xfId="0" applyFont="1" applyBorder="1" applyAlignment="1">
      <alignment horizontal="centerContinuous"/>
    </xf>
    <xf numFmtId="0" fontId="6" fillId="0" borderId="10" xfId="0" applyFont="1" applyBorder="1"/>
    <xf numFmtId="2" fontId="13" fillId="0" borderId="9" xfId="0" applyNumberFormat="1" applyFont="1" applyBorder="1"/>
    <xf numFmtId="0" fontId="12" fillId="0" borderId="9" xfId="0" applyFont="1" applyBorder="1" applyAlignment="1">
      <alignment horizontal="center"/>
    </xf>
    <xf numFmtId="171" fontId="13" fillId="0" borderId="9" xfId="1" applyFont="1" applyBorder="1" applyAlignment="1">
      <alignment horizontal="centerContinuous"/>
    </xf>
    <xf numFmtId="2" fontId="6" fillId="0" borderId="0" xfId="0" applyNumberFormat="1" applyFont="1" applyBorder="1"/>
    <xf numFmtId="0" fontId="12" fillId="0" borderId="0" xfId="0" applyFont="1" applyAlignment="1">
      <alignment horizontal="center"/>
    </xf>
    <xf numFmtId="2" fontId="6" fillId="0" borderId="1" xfId="0" applyNumberFormat="1" applyFont="1" applyBorder="1"/>
    <xf numFmtId="0" fontId="18" fillId="0" borderId="5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6" fillId="0" borderId="11" xfId="0" applyFont="1" applyBorder="1"/>
    <xf numFmtId="0" fontId="11" fillId="0" borderId="12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6" fillId="0" borderId="5" xfId="0" applyFont="1" applyBorder="1"/>
    <xf numFmtId="0" fontId="6" fillId="0" borderId="14" xfId="0" applyFont="1" applyBorder="1" applyAlignment="1">
      <alignment horizontal="centerContinuous"/>
    </xf>
    <xf numFmtId="0" fontId="6" fillId="0" borderId="12" xfId="0" applyFont="1" applyBorder="1" applyAlignment="1"/>
    <xf numFmtId="0" fontId="6" fillId="0" borderId="13" xfId="0" applyFont="1" applyBorder="1" applyAlignment="1"/>
    <xf numFmtId="0" fontId="11" fillId="0" borderId="14" xfId="0" applyFont="1" applyBorder="1" applyAlignment="1">
      <alignment horizontal="centerContinuous"/>
    </xf>
    <xf numFmtId="0" fontId="6" fillId="0" borderId="14" xfId="0" applyFont="1" applyBorder="1"/>
    <xf numFmtId="0" fontId="11" fillId="0" borderId="15" xfId="0" applyFont="1" applyBorder="1" applyAlignment="1">
      <alignment horizontal="center"/>
    </xf>
    <xf numFmtId="0" fontId="11" fillId="0" borderId="16" xfId="0" applyFont="1" applyBorder="1"/>
    <xf numFmtId="0" fontId="11" fillId="0" borderId="5" xfId="0" applyFont="1" applyBorder="1" applyAlignment="1">
      <alignment horizontal="centerContinuous"/>
    </xf>
    <xf numFmtId="0" fontId="11" fillId="0" borderId="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3" xfId="0" applyFont="1" applyBorder="1"/>
    <xf numFmtId="185" fontId="12" fillId="0" borderId="3" xfId="1" applyNumberFormat="1" applyFont="1" applyBorder="1"/>
    <xf numFmtId="185" fontId="13" fillId="0" borderId="3" xfId="0" applyNumberFormat="1" applyFont="1" applyBorder="1"/>
    <xf numFmtId="0" fontId="13" fillId="0" borderId="14" xfId="0" applyFont="1" applyBorder="1"/>
    <xf numFmtId="185" fontId="13" fillId="0" borderId="0" xfId="1" applyNumberFormat="1" applyFont="1"/>
    <xf numFmtId="185" fontId="13" fillId="0" borderId="3" xfId="1" applyNumberFormat="1" applyFont="1" applyBorder="1"/>
    <xf numFmtId="1" fontId="13" fillId="0" borderId="0" xfId="0" applyNumberFormat="1" applyFont="1"/>
    <xf numFmtId="1" fontId="13" fillId="0" borderId="3" xfId="0" applyNumberFormat="1" applyFont="1" applyBorder="1"/>
    <xf numFmtId="0" fontId="12" fillId="0" borderId="14" xfId="0" applyFont="1" applyBorder="1"/>
    <xf numFmtId="0" fontId="13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5" xfId="0" applyFont="1" applyBorder="1"/>
    <xf numFmtId="185" fontId="12" fillId="0" borderId="5" xfId="1" applyNumberFormat="1" applyFont="1" applyBorder="1"/>
    <xf numFmtId="185" fontId="13" fillId="0" borderId="5" xfId="0" applyNumberFormat="1" applyFont="1" applyBorder="1"/>
    <xf numFmtId="0" fontId="13" fillId="0" borderId="11" xfId="0" applyFont="1" applyBorder="1"/>
    <xf numFmtId="185" fontId="13" fillId="0" borderId="1" xfId="1" applyNumberFormat="1" applyFont="1" applyBorder="1"/>
    <xf numFmtId="0" fontId="13" fillId="0" borderId="1" xfId="0" applyFont="1" applyBorder="1"/>
    <xf numFmtId="185" fontId="13" fillId="0" borderId="5" xfId="1" applyNumberFormat="1" applyFont="1" applyBorder="1"/>
    <xf numFmtId="1" fontId="13" fillId="0" borderId="1" xfId="0" applyNumberFormat="1" applyFont="1" applyBorder="1"/>
    <xf numFmtId="1" fontId="13" fillId="0" borderId="5" xfId="0" applyNumberFormat="1" applyFont="1" applyBorder="1"/>
    <xf numFmtId="0" fontId="12" fillId="0" borderId="1" xfId="0" applyFont="1" applyBorder="1"/>
    <xf numFmtId="0" fontId="12" fillId="0" borderId="11" xfId="0" applyFont="1" applyBorder="1"/>
    <xf numFmtId="0" fontId="13" fillId="0" borderId="3" xfId="0" applyFont="1" applyBorder="1"/>
    <xf numFmtId="0" fontId="12" fillId="0" borderId="4" xfId="0" applyFont="1" applyBorder="1"/>
    <xf numFmtId="185" fontId="13" fillId="0" borderId="17" xfId="1" applyNumberFormat="1" applyFont="1" applyBorder="1"/>
    <xf numFmtId="0" fontId="13" fillId="0" borderId="18" xfId="0" applyFont="1" applyBorder="1"/>
    <xf numFmtId="185" fontId="13" fillId="0" borderId="2" xfId="1" applyNumberFormat="1" applyFont="1" applyBorder="1"/>
    <xf numFmtId="185" fontId="13" fillId="0" borderId="17" xfId="0" applyNumberFormat="1" applyFont="1" applyBorder="1"/>
    <xf numFmtId="0" fontId="13" fillId="0" borderId="2" xfId="0" applyFont="1" applyBorder="1"/>
    <xf numFmtId="185" fontId="13" fillId="0" borderId="2" xfId="1" applyNumberFormat="1" applyFont="1" applyBorder="1" applyAlignment="1">
      <alignment horizontal="centerContinuous"/>
    </xf>
    <xf numFmtId="0" fontId="13" fillId="0" borderId="2" xfId="0" applyFont="1" applyBorder="1" applyAlignment="1">
      <alignment horizontal="centerContinuous"/>
    </xf>
    <xf numFmtId="0" fontId="6" fillId="0" borderId="18" xfId="0" applyFont="1" applyBorder="1"/>
    <xf numFmtId="185" fontId="13" fillId="0" borderId="17" xfId="1" applyNumberFormat="1" applyFont="1" applyBorder="1" applyAlignment="1">
      <alignment horizontal="centerContinuous"/>
    </xf>
    <xf numFmtId="0" fontId="13" fillId="0" borderId="17" xfId="0" applyFont="1" applyBorder="1"/>
    <xf numFmtId="0" fontId="6" fillId="0" borderId="18" xfId="0" applyFont="1" applyBorder="1" applyAlignment="1">
      <alignment horizontal="centerContinuous"/>
    </xf>
    <xf numFmtId="0" fontId="13" fillId="0" borderId="19" xfId="0" applyFont="1" applyBorder="1" applyAlignment="1">
      <alignment horizontal="center"/>
    </xf>
    <xf numFmtId="185" fontId="6" fillId="0" borderId="0" xfId="1" applyNumberFormat="1" applyFont="1"/>
    <xf numFmtId="0" fontId="6" fillId="0" borderId="2" xfId="0" applyFont="1" applyBorder="1" applyAlignment="1">
      <alignment horizontal="right"/>
    </xf>
    <xf numFmtId="2" fontId="13" fillId="0" borderId="2" xfId="0" applyNumberFormat="1" applyFont="1" applyBorder="1"/>
    <xf numFmtId="0" fontId="12" fillId="0" borderId="3" xfId="0" applyFont="1" applyBorder="1" applyAlignment="1">
      <alignment horizontal="center"/>
    </xf>
    <xf numFmtId="188" fontId="12" fillId="0" borderId="0" xfId="0" applyNumberFormat="1" applyFont="1"/>
    <xf numFmtId="187" fontId="12" fillId="0" borderId="0" xfId="0" applyNumberFormat="1" applyFont="1"/>
    <xf numFmtId="0" fontId="1" fillId="0" borderId="0" xfId="0" applyFont="1"/>
    <xf numFmtId="171" fontId="12" fillId="0" borderId="0" xfId="1" applyFont="1" applyBorder="1"/>
    <xf numFmtId="0" fontId="12" fillId="0" borderId="0" xfId="0" applyFont="1" applyFill="1"/>
    <xf numFmtId="2" fontId="13" fillId="0" borderId="9" xfId="0" applyNumberFormat="1" applyFont="1" applyBorder="1" applyAlignment="1">
      <alignment horizontal="centerContinuous"/>
    </xf>
    <xf numFmtId="0" fontId="27" fillId="0" borderId="0" xfId="0" applyFont="1"/>
    <xf numFmtId="0" fontId="28" fillId="0" borderId="0" xfId="0" applyFont="1"/>
    <xf numFmtId="39" fontId="13" fillId="0" borderId="0" xfId="1" applyNumberFormat="1" applyFont="1"/>
    <xf numFmtId="4" fontId="6" fillId="0" borderId="0" xfId="1" applyNumberFormat="1" applyFont="1"/>
    <xf numFmtId="4" fontId="6" fillId="0" borderId="0" xfId="0" applyNumberFormat="1" applyFont="1"/>
    <xf numFmtId="4" fontId="13" fillId="0" borderId="0" xfId="0" applyNumberFormat="1" applyFont="1"/>
    <xf numFmtId="0" fontId="29" fillId="0" borderId="0" xfId="0" applyFont="1"/>
    <xf numFmtId="185" fontId="20" fillId="0" borderId="2" xfId="0" applyNumberFormat="1" applyFont="1" applyBorder="1" applyAlignment="1"/>
    <xf numFmtId="185" fontId="20" fillId="0" borderId="2" xfId="0" applyNumberFormat="1" applyFont="1" applyBorder="1"/>
    <xf numFmtId="4" fontId="12" fillId="0" borderId="0" xfId="0" applyNumberFormat="1" applyFont="1"/>
    <xf numFmtId="0" fontId="31" fillId="0" borderId="0" xfId="0" applyFont="1"/>
    <xf numFmtId="196" fontId="12" fillId="0" borderId="0" xfId="0" applyNumberFormat="1" applyFont="1"/>
    <xf numFmtId="2" fontId="27" fillId="0" borderId="0" xfId="0" applyNumberFormat="1" applyFont="1"/>
    <xf numFmtId="4" fontId="12" fillId="0" borderId="0" xfId="0" applyNumberFormat="1" applyFont="1" applyAlignment="1">
      <alignment horizontal="left"/>
    </xf>
    <xf numFmtId="0" fontId="30" fillId="0" borderId="0" xfId="0" applyFont="1"/>
    <xf numFmtId="0" fontId="32" fillId="0" borderId="0" xfId="0" applyFont="1"/>
    <xf numFmtId="3" fontId="13" fillId="0" borderId="17" xfId="1" applyNumberFormat="1" applyFont="1" applyBorder="1" applyAlignment="1">
      <alignment horizontal="center"/>
    </xf>
    <xf numFmtId="3" fontId="13" fillId="0" borderId="18" xfId="1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.%20Preben/Lejeforh&#248;jelser/Diskette/Omkostningsbestemt%20lejeforh&#248;jelse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regningsskema"/>
      <sheetName val="Budget"/>
      <sheetName val="Skatter"/>
      <sheetName val="Afgifter"/>
      <sheetName val="Henlæggelser"/>
      <sheetName val="Øvrige beregninger"/>
      <sheetName val="Vedligehold.regnskab 2001-2002"/>
      <sheetName val="Vedligehold.regnskab 2002-2003"/>
      <sheetName val="Vedligehold.regnskab 2003-2004"/>
      <sheetName val="Vedligehold.regnskab 2004-2005"/>
      <sheetName val="Gem i ny Flettefil.xls"/>
      <sheetName val="Vedligehold.regnskab 2004-2 (2)"/>
    </sheetNames>
    <sheetDataSet>
      <sheetData sheetId="0">
        <row r="2">
          <cell r="I2" t="str">
            <v xml:space="preserve">Vimmersvej 4, </v>
          </cell>
          <cell r="N2" t="str">
            <v>8000 Århus C.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tabSelected="1" workbookViewId="0">
      <selection activeCell="AC5" sqref="AC5"/>
    </sheetView>
  </sheetViews>
  <sheetFormatPr defaultColWidth="9.28515625" defaultRowHeight="12.75"/>
  <cols>
    <col min="1" max="1" width="4.7109375" style="6" customWidth="1"/>
    <col min="2" max="2" width="6.140625" style="6" customWidth="1"/>
    <col min="3" max="3" width="19" style="6" customWidth="1"/>
    <col min="4" max="4" width="7.85546875" style="6" customWidth="1"/>
    <col min="5" max="5" width="0.42578125" style="6" customWidth="1"/>
    <col min="6" max="6" width="8.85546875" style="6" customWidth="1"/>
    <col min="7" max="7" width="0.85546875" style="6" customWidth="1"/>
    <col min="8" max="8" width="7.85546875" style="6" customWidth="1"/>
    <col min="9" max="9" width="1.28515625" style="6" customWidth="1"/>
    <col min="10" max="10" width="9.28515625" style="6" customWidth="1"/>
    <col min="11" max="11" width="0.7109375" style="6" customWidth="1"/>
    <col min="12" max="12" width="7.140625" style="6" customWidth="1"/>
    <col min="13" max="13" width="0.85546875" style="6" customWidth="1"/>
    <col min="14" max="14" width="6.7109375" style="6" customWidth="1"/>
    <col min="15" max="15" width="1.140625" style="6" customWidth="1"/>
    <col min="16" max="16" width="6.85546875" style="6" customWidth="1"/>
    <col min="17" max="17" width="1" style="6" customWidth="1"/>
    <col min="18" max="18" width="6.7109375" style="6" customWidth="1"/>
    <col min="19" max="19" width="1.140625" style="6" customWidth="1"/>
    <col min="20" max="20" width="6.42578125" style="6" customWidth="1"/>
    <col min="21" max="21" width="1.28515625" style="6" customWidth="1"/>
    <col min="22" max="22" width="6.42578125" style="6" customWidth="1"/>
    <col min="23" max="23" width="1.140625" style="6" customWidth="1"/>
    <col min="24" max="24" width="6.85546875" style="6" customWidth="1"/>
    <col min="25" max="25" width="0.85546875" style="6" customWidth="1"/>
    <col min="26" max="26" width="1" style="6" customWidth="1"/>
    <col min="27" max="27" width="9.28515625" style="6" customWidth="1"/>
    <col min="28" max="28" width="1.7109375" style="6" customWidth="1"/>
    <col min="29" max="29" width="7.28515625" style="6" customWidth="1"/>
    <col min="30" max="16384" width="9.28515625" style="6"/>
  </cols>
  <sheetData>
    <row r="1" spans="1:29" ht="18.75">
      <c r="A1" s="95" t="s">
        <v>407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18"/>
      <c r="AB1" s="18"/>
      <c r="AC1" s="18"/>
    </row>
    <row r="2" spans="1:29" ht="18.75">
      <c r="B2" s="96"/>
      <c r="C2" s="96"/>
      <c r="D2" s="96"/>
      <c r="E2" s="96"/>
      <c r="F2" s="96"/>
      <c r="G2" s="96"/>
      <c r="I2" s="97" t="s">
        <v>248</v>
      </c>
      <c r="J2" s="96"/>
      <c r="K2" s="96"/>
      <c r="L2" s="96"/>
      <c r="N2" s="97" t="s">
        <v>408</v>
      </c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18"/>
      <c r="AB2" s="18"/>
      <c r="AC2" s="18"/>
    </row>
    <row r="3" spans="1:29" ht="18.75">
      <c r="B3" s="96"/>
      <c r="C3" s="96"/>
      <c r="D3" s="96"/>
      <c r="E3" s="96"/>
      <c r="F3" s="96"/>
      <c r="G3" s="96"/>
      <c r="H3" s="97"/>
      <c r="J3" s="96"/>
      <c r="K3" s="96"/>
      <c r="L3" s="96"/>
      <c r="O3" s="98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18"/>
      <c r="AB3" s="18"/>
      <c r="AC3" s="18"/>
    </row>
    <row r="4" spans="1:29">
      <c r="A4" s="86"/>
    </row>
    <row r="5" spans="1:29">
      <c r="A5" s="86"/>
      <c r="C5" s="99" t="s">
        <v>0</v>
      </c>
      <c r="D5" s="100"/>
      <c r="E5" s="100"/>
      <c r="F5" s="100"/>
      <c r="G5" s="101"/>
      <c r="H5" s="172">
        <f>Henlæggelser!F63</f>
        <v>44</v>
      </c>
      <c r="I5" s="100" t="s">
        <v>1</v>
      </c>
      <c r="J5" s="102"/>
      <c r="L5" s="99" t="s">
        <v>2</v>
      </c>
      <c r="M5" s="100"/>
      <c r="N5" s="100"/>
      <c r="O5" s="100"/>
      <c r="P5" s="100"/>
      <c r="Q5" s="100"/>
      <c r="R5" s="100"/>
      <c r="S5" s="100"/>
      <c r="T5" s="100"/>
      <c r="U5" s="100"/>
      <c r="V5" s="103">
        <f>Budget!E41+Budget!E42</f>
        <v>165</v>
      </c>
      <c r="W5" s="100"/>
      <c r="X5" s="100" t="s">
        <v>1</v>
      </c>
      <c r="Y5" s="100"/>
      <c r="Z5" s="100"/>
      <c r="AA5" s="102"/>
    </row>
    <row r="6" spans="1:29">
      <c r="A6" s="86"/>
      <c r="C6" s="99" t="s">
        <v>3</v>
      </c>
      <c r="D6" s="104">
        <v>2017</v>
      </c>
      <c r="E6" s="100"/>
      <c r="F6" s="105">
        <f>Budget!G35</f>
        <v>166529.63967285224</v>
      </c>
      <c r="G6" s="105"/>
      <c r="H6" s="105"/>
      <c r="I6" s="100" t="s">
        <v>4</v>
      </c>
      <c r="J6" s="102"/>
      <c r="R6" s="106"/>
      <c r="S6" s="10"/>
      <c r="T6" s="10"/>
      <c r="U6" s="10"/>
      <c r="V6" s="10"/>
      <c r="W6" s="10"/>
    </row>
    <row r="7" spans="1:29">
      <c r="A7" s="86"/>
      <c r="D7" s="107"/>
      <c r="F7" s="93"/>
      <c r="G7" s="93"/>
      <c r="H7" s="93"/>
      <c r="R7" s="108"/>
      <c r="S7" s="8"/>
      <c r="T7" s="8"/>
      <c r="U7" s="8"/>
      <c r="V7" s="8"/>
      <c r="W7" s="8"/>
    </row>
    <row r="8" spans="1:29" ht="14.25">
      <c r="N8" s="8"/>
      <c r="O8" s="8"/>
      <c r="R8" s="109" t="s">
        <v>5</v>
      </c>
      <c r="S8" s="110"/>
      <c r="T8" s="110"/>
      <c r="U8" s="110"/>
      <c r="V8" s="110"/>
      <c r="W8" s="111"/>
    </row>
    <row r="9" spans="1:29">
      <c r="F9" s="8"/>
      <c r="G9" s="112"/>
      <c r="H9" s="113" t="s">
        <v>6</v>
      </c>
      <c r="I9" s="114"/>
      <c r="J9" s="115"/>
      <c r="K9" s="8"/>
      <c r="N9" s="44" t="s">
        <v>7</v>
      </c>
      <c r="O9" s="116"/>
      <c r="P9" s="113" t="s">
        <v>8</v>
      </c>
      <c r="Q9" s="114"/>
      <c r="R9" s="44" t="s">
        <v>9</v>
      </c>
      <c r="S9" s="18"/>
      <c r="T9" s="117"/>
      <c r="U9" s="118"/>
      <c r="V9" s="72"/>
      <c r="W9" s="116"/>
    </row>
    <row r="10" spans="1:29">
      <c r="D10" s="113" t="s">
        <v>10</v>
      </c>
      <c r="E10" s="114"/>
      <c r="F10" s="79" t="s">
        <v>6</v>
      </c>
      <c r="G10" s="18"/>
      <c r="H10" s="44" t="s">
        <v>11</v>
      </c>
      <c r="I10" s="116"/>
      <c r="J10" s="79" t="s">
        <v>12</v>
      </c>
      <c r="K10" s="18"/>
      <c r="L10" s="113" t="s">
        <v>13</v>
      </c>
      <c r="M10" s="114"/>
      <c r="N10" s="79" t="s">
        <v>14</v>
      </c>
      <c r="O10" s="18"/>
      <c r="P10" s="44" t="s">
        <v>15</v>
      </c>
      <c r="Q10" s="116"/>
      <c r="R10" s="44" t="s">
        <v>16</v>
      </c>
      <c r="S10" s="119"/>
      <c r="T10" s="50"/>
      <c r="U10" s="120"/>
      <c r="W10" s="120"/>
    </row>
    <row r="11" spans="1:29">
      <c r="D11" s="44" t="s">
        <v>17</v>
      </c>
      <c r="E11" s="116"/>
      <c r="F11" s="79" t="s">
        <v>18</v>
      </c>
      <c r="G11" s="18"/>
      <c r="H11" s="44" t="s">
        <v>19</v>
      </c>
      <c r="I11" s="116"/>
      <c r="J11" s="79" t="s">
        <v>11</v>
      </c>
      <c r="K11" s="18"/>
      <c r="L11" s="44" t="s">
        <v>20</v>
      </c>
      <c r="M11" s="116"/>
      <c r="N11" s="79" t="s">
        <v>21</v>
      </c>
      <c r="O11" s="18"/>
      <c r="P11" s="44" t="s">
        <v>21</v>
      </c>
      <c r="Q11" s="116"/>
      <c r="R11" s="44" t="s">
        <v>22</v>
      </c>
      <c r="S11" s="18"/>
      <c r="T11" s="44" t="s">
        <v>23</v>
      </c>
      <c r="U11" s="116"/>
      <c r="V11" s="79" t="s">
        <v>24</v>
      </c>
      <c r="W11" s="116"/>
      <c r="X11" s="113" t="s">
        <v>25</v>
      </c>
      <c r="Y11" s="114"/>
      <c r="AA11" s="113" t="s">
        <v>26</v>
      </c>
      <c r="AB11" s="114"/>
      <c r="AC11" s="121" t="s">
        <v>27</v>
      </c>
    </row>
    <row r="12" spans="1:29">
      <c r="A12" s="122" t="s">
        <v>28</v>
      </c>
      <c r="B12" s="122" t="s">
        <v>29</v>
      </c>
      <c r="C12" s="122" t="s">
        <v>30</v>
      </c>
      <c r="D12" s="123" t="s">
        <v>31</v>
      </c>
      <c r="E12" s="111"/>
      <c r="F12" s="75" t="s">
        <v>31</v>
      </c>
      <c r="G12" s="110"/>
      <c r="H12" s="123" t="s">
        <v>32</v>
      </c>
      <c r="I12" s="111"/>
      <c r="J12" s="75" t="s">
        <v>31</v>
      </c>
      <c r="K12" s="110"/>
      <c r="L12" s="123" t="s">
        <v>31</v>
      </c>
      <c r="M12" s="111"/>
      <c r="N12" s="75" t="s">
        <v>33</v>
      </c>
      <c r="O12" s="110"/>
      <c r="P12" s="123" t="s">
        <v>33</v>
      </c>
      <c r="Q12" s="111"/>
      <c r="R12" s="123" t="s">
        <v>34</v>
      </c>
      <c r="S12" s="110"/>
      <c r="T12" s="123" t="s">
        <v>35</v>
      </c>
      <c r="U12" s="111"/>
      <c r="V12" s="75" t="s">
        <v>36</v>
      </c>
      <c r="W12" s="111"/>
      <c r="X12" s="123" t="s">
        <v>37</v>
      </c>
      <c r="Y12" s="111"/>
      <c r="Z12" s="8"/>
      <c r="AA12" s="123" t="s">
        <v>38</v>
      </c>
      <c r="AB12" s="111"/>
      <c r="AC12" s="124" t="s">
        <v>39</v>
      </c>
    </row>
    <row r="13" spans="1:29">
      <c r="A13" s="125"/>
      <c r="B13" s="43"/>
      <c r="C13" s="43"/>
      <c r="D13" s="10"/>
      <c r="E13" s="120"/>
      <c r="H13" s="50"/>
      <c r="I13" s="120"/>
      <c r="L13" s="50"/>
      <c r="M13" s="120"/>
      <c r="P13" s="50"/>
      <c r="Q13" s="120"/>
      <c r="R13" s="50"/>
      <c r="T13" s="50"/>
      <c r="U13" s="120"/>
      <c r="W13" s="120"/>
      <c r="X13" s="50"/>
      <c r="Y13" s="120"/>
      <c r="AA13" s="50"/>
      <c r="AB13" s="120"/>
      <c r="AC13" s="43"/>
    </row>
    <row r="14" spans="1:29">
      <c r="A14" s="126">
        <v>1</v>
      </c>
      <c r="B14" s="107" t="s">
        <v>40</v>
      </c>
      <c r="C14" s="127" t="s">
        <v>41</v>
      </c>
      <c r="D14" s="128">
        <v>1950</v>
      </c>
      <c r="E14" s="120"/>
      <c r="F14" s="51">
        <f>Budget!$F$35/18550*Beregningsskema!D14+Budget!$F$44/512*Beregningsskema!AC14</f>
        <v>28049.664715395596</v>
      </c>
      <c r="H14" s="129">
        <f>J14-F14</f>
        <v>324.14646315221398</v>
      </c>
      <c r="I14" s="130"/>
      <c r="J14" s="131">
        <f>SUM(L14:P14)*12</f>
        <v>28373.81117854781</v>
      </c>
      <c r="K14" s="29"/>
      <c r="L14" s="132">
        <f t="shared" ref="L14:L21" si="0">$F$6/$D$23/12*D14</f>
        <v>1458.8175982123173</v>
      </c>
      <c r="M14" s="130"/>
      <c r="N14" s="133">
        <f>$H$5*AC14/12</f>
        <v>190.66666666666666</v>
      </c>
      <c r="O14" s="29"/>
      <c r="P14" s="134">
        <f t="shared" ref="P14:P21" si="1">$V$5*AC14/12</f>
        <v>715</v>
      </c>
      <c r="Q14" s="120"/>
      <c r="R14" s="127">
        <v>147</v>
      </c>
      <c r="S14" s="61"/>
      <c r="T14" s="127">
        <v>65</v>
      </c>
      <c r="U14" s="135"/>
      <c r="V14" s="61">
        <v>55</v>
      </c>
      <c r="W14" s="120"/>
      <c r="X14" s="127">
        <v>350</v>
      </c>
      <c r="Y14" s="120"/>
      <c r="AA14" s="129">
        <f>SUM(L14:X14)</f>
        <v>2981.484264878984</v>
      </c>
      <c r="AB14" s="120"/>
      <c r="AC14" s="126">
        <v>52</v>
      </c>
    </row>
    <row r="15" spans="1:29">
      <c r="A15" s="126">
        <v>2</v>
      </c>
      <c r="B15" s="107" t="s">
        <v>42</v>
      </c>
      <c r="C15" s="127" t="s">
        <v>43</v>
      </c>
      <c r="D15" s="128">
        <v>2650</v>
      </c>
      <c r="E15" s="120"/>
      <c r="F15" s="51">
        <f>Budget!$F$35/18550*Beregningsskema!D15+Budget!$F$44/512*Beregningsskema!AC15</f>
        <v>38601.775126050423</v>
      </c>
      <c r="H15" s="129">
        <f t="shared" ref="H15:H20" si="2">J15-F15</f>
        <v>445.17339864274982</v>
      </c>
      <c r="I15" s="130"/>
      <c r="J15" s="131">
        <f t="shared" ref="J15:J21" si="3">SUM(L15:P15)*12</f>
        <v>39046.948524693173</v>
      </c>
      <c r="K15" s="29"/>
      <c r="L15" s="132">
        <f t="shared" si="0"/>
        <v>1982.4957103910979</v>
      </c>
      <c r="M15" s="130"/>
      <c r="N15" s="133">
        <f t="shared" ref="N15:N21" si="4">$H$5*AC15/12</f>
        <v>267.66666666666669</v>
      </c>
      <c r="O15" s="29"/>
      <c r="P15" s="134">
        <f t="shared" si="1"/>
        <v>1003.75</v>
      </c>
      <c r="Q15" s="120"/>
      <c r="R15" s="127">
        <v>147</v>
      </c>
      <c r="S15" s="61"/>
      <c r="T15" s="127">
        <v>87</v>
      </c>
      <c r="U15" s="135"/>
      <c r="V15" s="61">
        <v>74</v>
      </c>
      <c r="W15" s="120"/>
      <c r="X15" s="127">
        <v>450</v>
      </c>
      <c r="Y15" s="120"/>
      <c r="AA15" s="129">
        <f t="shared" ref="AA15:AA23" si="5">SUM(L15:X15)</f>
        <v>4011.9123770577644</v>
      </c>
      <c r="AB15" s="120"/>
      <c r="AC15" s="126">
        <v>73</v>
      </c>
    </row>
    <row r="16" spans="1:29">
      <c r="A16" s="126">
        <v>3</v>
      </c>
      <c r="B16" s="107" t="s">
        <v>44</v>
      </c>
      <c r="C16" s="127" t="s">
        <v>45</v>
      </c>
      <c r="D16" s="128">
        <v>1950</v>
      </c>
      <c r="E16" s="120"/>
      <c r="F16" s="51">
        <f>Budget!$F$35/18550*Beregningsskema!D16+Budget!$F$44/512*Beregningsskema!AC16</f>
        <v>28049.664715395596</v>
      </c>
      <c r="H16" s="129">
        <f t="shared" si="2"/>
        <v>324.14646315221398</v>
      </c>
      <c r="I16" s="130"/>
      <c r="J16" s="131">
        <f t="shared" si="3"/>
        <v>28373.81117854781</v>
      </c>
      <c r="K16" s="29"/>
      <c r="L16" s="132">
        <f t="shared" si="0"/>
        <v>1458.8175982123173</v>
      </c>
      <c r="M16" s="130"/>
      <c r="N16" s="133">
        <f t="shared" si="4"/>
        <v>190.66666666666666</v>
      </c>
      <c r="O16" s="29"/>
      <c r="P16" s="134">
        <f t="shared" si="1"/>
        <v>715</v>
      </c>
      <c r="Q16" s="120"/>
      <c r="R16" s="127">
        <v>147</v>
      </c>
      <c r="S16" s="61"/>
      <c r="T16" s="127">
        <v>65</v>
      </c>
      <c r="U16" s="135"/>
      <c r="V16" s="61">
        <v>55</v>
      </c>
      <c r="W16" s="120"/>
      <c r="X16" s="127">
        <v>350</v>
      </c>
      <c r="Y16" s="120"/>
      <c r="AA16" s="129">
        <f t="shared" si="5"/>
        <v>2981.484264878984</v>
      </c>
      <c r="AB16" s="120"/>
      <c r="AC16" s="126">
        <v>52</v>
      </c>
    </row>
    <row r="17" spans="1:29">
      <c r="A17" s="126">
        <v>4</v>
      </c>
      <c r="B17" s="107" t="s">
        <v>46</v>
      </c>
      <c r="C17" s="127" t="s">
        <v>47</v>
      </c>
      <c r="D17" s="128">
        <v>2650</v>
      </c>
      <c r="E17" s="120"/>
      <c r="F17" s="51">
        <f>Budget!$F$35/18550*Beregningsskema!D17+Budget!$F$44/512*Beregningsskema!AC17</f>
        <v>38601.775126050423</v>
      </c>
      <c r="H17" s="129">
        <f t="shared" si="2"/>
        <v>445.17339864274982</v>
      </c>
      <c r="I17" s="130"/>
      <c r="J17" s="131">
        <f t="shared" si="3"/>
        <v>39046.948524693173</v>
      </c>
      <c r="K17" s="29"/>
      <c r="L17" s="132">
        <f t="shared" si="0"/>
        <v>1982.4957103910979</v>
      </c>
      <c r="M17" s="130"/>
      <c r="N17" s="133">
        <f t="shared" si="4"/>
        <v>267.66666666666669</v>
      </c>
      <c r="O17" s="29"/>
      <c r="P17" s="134">
        <f t="shared" si="1"/>
        <v>1003.75</v>
      </c>
      <c r="Q17" s="120"/>
      <c r="R17" s="127">
        <v>147</v>
      </c>
      <c r="S17" s="61"/>
      <c r="T17" s="127">
        <v>93</v>
      </c>
      <c r="U17" s="135"/>
      <c r="V17" s="61">
        <v>74</v>
      </c>
      <c r="W17" s="120"/>
      <c r="X17" s="127">
        <v>450</v>
      </c>
      <c r="Y17" s="120"/>
      <c r="AA17" s="129">
        <f t="shared" si="5"/>
        <v>4017.9123770577644</v>
      </c>
      <c r="AB17" s="120"/>
      <c r="AC17" s="126">
        <v>73</v>
      </c>
    </row>
    <row r="18" spans="1:29">
      <c r="A18" s="126">
        <v>5</v>
      </c>
      <c r="B18" s="107" t="s">
        <v>48</v>
      </c>
      <c r="C18" s="127" t="s">
        <v>49</v>
      </c>
      <c r="D18" s="128">
        <v>1950</v>
      </c>
      <c r="E18" s="120"/>
      <c r="F18" s="51">
        <f>Budget!$F$35/18550*Beregningsskema!D18+Budget!$F$44/512*Beregningsskema!AC18</f>
        <v>28049.664715395596</v>
      </c>
      <c r="H18" s="129">
        <f t="shared" si="2"/>
        <v>324.14646315221398</v>
      </c>
      <c r="I18" s="130"/>
      <c r="J18" s="131">
        <f t="shared" si="3"/>
        <v>28373.81117854781</v>
      </c>
      <c r="K18" s="29"/>
      <c r="L18" s="132">
        <f t="shared" si="0"/>
        <v>1458.8175982123173</v>
      </c>
      <c r="M18" s="130"/>
      <c r="N18" s="133">
        <f t="shared" si="4"/>
        <v>190.66666666666666</v>
      </c>
      <c r="O18" s="29"/>
      <c r="P18" s="134">
        <f t="shared" si="1"/>
        <v>715</v>
      </c>
      <c r="Q18" s="120"/>
      <c r="R18" s="127">
        <v>147</v>
      </c>
      <c r="S18" s="61"/>
      <c r="T18" s="127">
        <v>65</v>
      </c>
      <c r="U18" s="135"/>
      <c r="V18" s="61">
        <v>55</v>
      </c>
      <c r="W18" s="120"/>
      <c r="X18" s="127">
        <v>350</v>
      </c>
      <c r="Y18" s="120"/>
      <c r="AA18" s="129">
        <f t="shared" si="5"/>
        <v>2981.484264878984</v>
      </c>
      <c r="AB18" s="120"/>
      <c r="AC18" s="126">
        <v>52</v>
      </c>
    </row>
    <row r="19" spans="1:29">
      <c r="A19" s="126">
        <v>6</v>
      </c>
      <c r="B19" s="107" t="s">
        <v>50</v>
      </c>
      <c r="C19" s="127" t="s">
        <v>51</v>
      </c>
      <c r="D19" s="128">
        <v>2650</v>
      </c>
      <c r="E19" s="120"/>
      <c r="F19" s="51">
        <f>Budget!$F$35/18550*Beregningsskema!D19+Budget!$F$44/512*Beregningsskema!AC19</f>
        <v>38601.775126050423</v>
      </c>
      <c r="H19" s="129">
        <f t="shared" si="2"/>
        <v>445.17339864274982</v>
      </c>
      <c r="I19" s="130"/>
      <c r="J19" s="131">
        <f t="shared" si="3"/>
        <v>39046.948524693173</v>
      </c>
      <c r="K19" s="29"/>
      <c r="L19" s="132">
        <f t="shared" si="0"/>
        <v>1982.4957103910979</v>
      </c>
      <c r="M19" s="130"/>
      <c r="N19" s="133">
        <f t="shared" si="4"/>
        <v>267.66666666666669</v>
      </c>
      <c r="O19" s="29"/>
      <c r="P19" s="134">
        <f t="shared" si="1"/>
        <v>1003.75</v>
      </c>
      <c r="Q19" s="120"/>
      <c r="R19" s="127">
        <v>147</v>
      </c>
      <c r="S19" s="61"/>
      <c r="T19" s="127">
        <v>93</v>
      </c>
      <c r="U19" s="135"/>
      <c r="V19" s="61">
        <v>74</v>
      </c>
      <c r="W19" s="120"/>
      <c r="X19" s="127">
        <v>450</v>
      </c>
      <c r="Y19" s="120"/>
      <c r="AA19" s="129">
        <f t="shared" si="5"/>
        <v>4017.9123770577644</v>
      </c>
      <c r="AB19" s="120"/>
      <c r="AC19" s="126">
        <v>73</v>
      </c>
    </row>
    <row r="20" spans="1:29">
      <c r="A20" s="126">
        <v>7</v>
      </c>
      <c r="B20" s="107" t="s">
        <v>52</v>
      </c>
      <c r="C20" s="127" t="s">
        <v>53</v>
      </c>
      <c r="D20" s="128">
        <v>1850</v>
      </c>
      <c r="E20" s="120"/>
      <c r="F20" s="51">
        <f>Budget!$F$35/18550*Beregningsskema!D20+Budget!$F$44/512*Beregningsskema!AC20</f>
        <v>27163.220371016334</v>
      </c>
      <c r="H20" s="129">
        <f t="shared" si="2"/>
        <v>312.85690093928133</v>
      </c>
      <c r="I20" s="130"/>
      <c r="J20" s="131">
        <f t="shared" si="3"/>
        <v>27476.077271955615</v>
      </c>
      <c r="K20" s="29"/>
      <c r="L20" s="132">
        <f t="shared" si="0"/>
        <v>1384.0064393296343</v>
      </c>
      <c r="M20" s="130"/>
      <c r="N20" s="133">
        <f t="shared" si="4"/>
        <v>190.66666666666666</v>
      </c>
      <c r="O20" s="29"/>
      <c r="P20" s="134">
        <f t="shared" si="1"/>
        <v>715</v>
      </c>
      <c r="Q20" s="120"/>
      <c r="R20" s="127">
        <v>147</v>
      </c>
      <c r="S20" s="61"/>
      <c r="T20" s="127">
        <v>65</v>
      </c>
      <c r="U20" s="135"/>
      <c r="V20" s="61">
        <v>52</v>
      </c>
      <c r="W20" s="120"/>
      <c r="X20" s="127">
        <v>400</v>
      </c>
      <c r="Y20" s="120"/>
      <c r="AA20" s="129">
        <f t="shared" si="5"/>
        <v>2953.6731059963013</v>
      </c>
      <c r="AB20" s="120"/>
      <c r="AC20" s="126">
        <v>52</v>
      </c>
    </row>
    <row r="21" spans="1:29">
      <c r="A21" s="136">
        <v>8</v>
      </c>
      <c r="B21" s="137" t="s">
        <v>54</v>
      </c>
      <c r="C21" s="138" t="s">
        <v>55</v>
      </c>
      <c r="D21" s="139">
        <v>2900</v>
      </c>
      <c r="E21" s="112"/>
      <c r="F21" s="139">
        <f>Budget!$F$35/18550*Beregningsskema!D21+Budget!$F$44/512*Beregningsskema!AC21</f>
        <v>43301.885986998575</v>
      </c>
      <c r="G21" s="8"/>
      <c r="H21" s="140">
        <f>J21-F21</f>
        <v>497.3973041750869</v>
      </c>
      <c r="I21" s="141"/>
      <c r="J21" s="142">
        <f t="shared" si="3"/>
        <v>43799.283291173662</v>
      </c>
      <c r="K21" s="143"/>
      <c r="L21" s="144">
        <f t="shared" si="0"/>
        <v>2169.523607597805</v>
      </c>
      <c r="M21" s="141"/>
      <c r="N21" s="145">
        <f t="shared" si="4"/>
        <v>311.66666666666669</v>
      </c>
      <c r="O21" s="143"/>
      <c r="P21" s="146">
        <f t="shared" si="1"/>
        <v>1168.75</v>
      </c>
      <c r="Q21" s="112"/>
      <c r="R21" s="138">
        <v>147</v>
      </c>
      <c r="S21" s="147"/>
      <c r="T21" s="138">
        <v>107</v>
      </c>
      <c r="U21" s="148"/>
      <c r="V21" s="147">
        <v>81</v>
      </c>
      <c r="W21" s="112"/>
      <c r="X21" s="138">
        <v>500</v>
      </c>
      <c r="Y21" s="112"/>
      <c r="Z21" s="8"/>
      <c r="AA21" s="140">
        <f t="shared" si="5"/>
        <v>4484.9402742644716</v>
      </c>
      <c r="AB21" s="112"/>
      <c r="AC21" s="137">
        <v>85</v>
      </c>
    </row>
    <row r="22" spans="1:29">
      <c r="A22" s="77"/>
      <c r="D22" s="127"/>
      <c r="E22" s="120"/>
      <c r="F22" s="61"/>
      <c r="H22" s="149"/>
      <c r="I22" s="130"/>
      <c r="J22" s="29"/>
      <c r="K22" s="29"/>
      <c r="L22" s="149"/>
      <c r="M22" s="130"/>
      <c r="N22" s="29"/>
      <c r="O22" s="29"/>
      <c r="P22" s="149"/>
      <c r="Q22" s="120"/>
      <c r="R22" s="127"/>
      <c r="S22" s="61"/>
      <c r="T22" s="127"/>
      <c r="U22" s="135"/>
      <c r="V22" s="61"/>
      <c r="W22" s="120"/>
      <c r="X22" s="127"/>
      <c r="Y22" s="120"/>
      <c r="AA22" s="129"/>
      <c r="AB22" s="120"/>
      <c r="AC22" s="150"/>
    </row>
    <row r="23" spans="1:29" ht="13.5" thickBot="1">
      <c r="A23" s="77"/>
      <c r="C23" s="24" t="s">
        <v>56</v>
      </c>
      <c r="D23" s="151">
        <f>SUM(D14:D21)</f>
        <v>18550</v>
      </c>
      <c r="E23" s="152"/>
      <c r="F23" s="153">
        <f>SUM(F14:F21)</f>
        <v>270419.42588235298</v>
      </c>
      <c r="G23" s="12"/>
      <c r="H23" s="154">
        <f>SUM(H14:H21)</f>
        <v>3118.2137904992596</v>
      </c>
      <c r="I23" s="152"/>
      <c r="J23" s="153">
        <f>SUM(J14:J21)</f>
        <v>273537.63967285224</v>
      </c>
      <c r="K23" s="155"/>
      <c r="L23" s="189">
        <f>SUM(L14:L21)</f>
        <v>13877.469972737685</v>
      </c>
      <c r="M23" s="190"/>
      <c r="N23" s="156">
        <f>SUM(N14:N21)</f>
        <v>1877.3333333333337</v>
      </c>
      <c r="O23" s="157"/>
      <c r="P23" s="151">
        <f>SUM(P14:P21)</f>
        <v>7040</v>
      </c>
      <c r="Q23" s="158"/>
      <c r="R23" s="159">
        <f>SUM(R14:R21)</f>
        <v>1176</v>
      </c>
      <c r="S23" s="157"/>
      <c r="T23" s="160">
        <f>SUM(T14:T21)</f>
        <v>640</v>
      </c>
      <c r="U23" s="152"/>
      <c r="V23" s="155">
        <f>SUM(V14:V21)</f>
        <v>520</v>
      </c>
      <c r="W23" s="152"/>
      <c r="X23" s="159">
        <f>SUM(X14:X21)</f>
        <v>3300</v>
      </c>
      <c r="Y23" s="161"/>
      <c r="Z23" s="12"/>
      <c r="AA23" s="154">
        <f t="shared" si="5"/>
        <v>28430.803306071019</v>
      </c>
      <c r="AB23" s="158"/>
      <c r="AC23" s="162">
        <f>SUM(AC14:AC21)</f>
        <v>512</v>
      </c>
    </row>
    <row r="24" spans="1:29" ht="13.5" thickTop="1">
      <c r="A24" s="77"/>
      <c r="D24" s="163"/>
    </row>
    <row r="25" spans="1:29">
      <c r="A25" s="77"/>
    </row>
    <row r="26" spans="1:29" ht="13.5" thickBot="1">
      <c r="C26" s="6" t="s">
        <v>57</v>
      </c>
      <c r="H26" s="164" t="s">
        <v>58</v>
      </c>
      <c r="I26" s="12"/>
      <c r="J26" s="153">
        <f>(AA23-X23)*12</f>
        <v>301569.63967285224</v>
      </c>
      <c r="L26" s="6" t="s">
        <v>59</v>
      </c>
      <c r="P26" s="164" t="s">
        <v>58</v>
      </c>
      <c r="Q26" s="12"/>
      <c r="R26" s="165">
        <f>J26/AC23</f>
        <v>589.00320248603953</v>
      </c>
    </row>
    <row r="27" spans="1:29" ht="13.5" thickTop="1"/>
    <row r="28" spans="1:29">
      <c r="H28" s="6" t="s">
        <v>60</v>
      </c>
    </row>
    <row r="29" spans="1:29">
      <c r="H29" s="18" t="s">
        <v>411</v>
      </c>
      <c r="I29" s="18"/>
      <c r="J29" s="18"/>
      <c r="K29" s="18"/>
      <c r="L29" s="18"/>
    </row>
    <row r="31" spans="1:29">
      <c r="H31" s="18" t="s">
        <v>61</v>
      </c>
      <c r="I31" s="18"/>
      <c r="J31" s="18"/>
      <c r="K31" s="18"/>
      <c r="L31" s="18"/>
    </row>
  </sheetData>
  <mergeCells count="1">
    <mergeCell ref="L23:M23"/>
  </mergeCells>
  <phoneticPr fontId="0" type="noConversion"/>
  <pageMargins left="0.36" right="0.17" top="1.26" bottom="1" header="0.5" footer="0.5"/>
  <pageSetup paperSize="9" orientation="landscape" r:id="rId1"/>
  <headerFooter alignWithMargins="0">
    <oddHeader>&amp;A</oddHeader>
    <oddFooter>Side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H18" sqref="H18"/>
    </sheetView>
  </sheetViews>
  <sheetFormatPr defaultRowHeight="15"/>
  <cols>
    <col min="1" max="4" width="9.28515625" style="19" customWidth="1"/>
    <col min="5" max="7" width="9.28515625" style="20" customWidth="1"/>
    <col min="8" max="8" width="11.28515625" style="20" customWidth="1"/>
    <col min="9" max="14" width="9.28515625" style="20" customWidth="1"/>
    <col min="15" max="15" width="20.42578125" style="20" customWidth="1"/>
    <col min="16" max="16" width="17" style="20" customWidth="1"/>
    <col min="17" max="17" width="17.7109375" style="20" customWidth="1"/>
    <col min="18" max="18" width="20.140625" style="20" customWidth="1"/>
    <col min="19" max="22" width="9.28515625" style="20" customWidth="1"/>
    <col min="23" max="24" width="9.28515625" style="19" customWidth="1"/>
  </cols>
  <sheetData>
    <row r="1" spans="1:22">
      <c r="A1" s="19" t="s">
        <v>226</v>
      </c>
      <c r="B1" s="19" t="s">
        <v>227</v>
      </c>
      <c r="C1" s="19" t="s">
        <v>29</v>
      </c>
      <c r="D1" s="19" t="s">
        <v>228</v>
      </c>
      <c r="E1" s="20" t="s">
        <v>229</v>
      </c>
      <c r="F1" s="20" t="s">
        <v>230</v>
      </c>
      <c r="G1" s="20" t="s">
        <v>231</v>
      </c>
      <c r="H1" s="20" t="s">
        <v>232</v>
      </c>
      <c r="I1" s="20" t="s">
        <v>233</v>
      </c>
      <c r="J1" s="20" t="s">
        <v>234</v>
      </c>
      <c r="K1" s="20" t="s">
        <v>235</v>
      </c>
      <c r="L1" s="20" t="s">
        <v>236</v>
      </c>
      <c r="M1" s="20" t="s">
        <v>237</v>
      </c>
      <c r="N1" s="20" t="s">
        <v>238</v>
      </c>
      <c r="O1" s="20" t="s">
        <v>239</v>
      </c>
      <c r="P1" s="20" t="s">
        <v>240</v>
      </c>
      <c r="Q1" s="20" t="s">
        <v>241</v>
      </c>
      <c r="R1" s="20" t="s">
        <v>242</v>
      </c>
      <c r="S1" s="20" t="s">
        <v>243</v>
      </c>
      <c r="T1" s="20" t="s">
        <v>244</v>
      </c>
      <c r="U1" s="20" t="s">
        <v>245</v>
      </c>
      <c r="V1" s="20" t="s">
        <v>246</v>
      </c>
    </row>
    <row r="2" spans="1:22">
      <c r="A2" s="19" t="str">
        <f>Beregningsskema!C14</f>
        <v>Anders Andersen</v>
      </c>
      <c r="B2" s="19" t="str">
        <f>Beregningsskema!$I$2</f>
        <v xml:space="preserve">Vimmersvej 4, </v>
      </c>
      <c r="C2" s="19" t="str">
        <f>Beregningsskema!B14</f>
        <v>st.tv.</v>
      </c>
      <c r="D2" s="19" t="str">
        <f>Beregningsskema!$N$2</f>
        <v>8000 Aarhus C.</v>
      </c>
      <c r="E2" s="20">
        <f>Beregningsskema!AC14</f>
        <v>52</v>
      </c>
      <c r="F2" s="20">
        <f>Beregningsskema!D14</f>
        <v>1950</v>
      </c>
      <c r="G2" s="20">
        <f>Beregningsskema!H14</f>
        <v>324.14646315221398</v>
      </c>
      <c r="H2" s="20">
        <f>Beregningsskema!F14</f>
        <v>28049.664715395596</v>
      </c>
      <c r="I2" s="20">
        <f>Beregningsskema!J14</f>
        <v>28373.81117854781</v>
      </c>
      <c r="J2" s="20">
        <f>Beregningsskema!L14</f>
        <v>1458.8175982123173</v>
      </c>
      <c r="K2" s="20">
        <f>Beregningsskema!P14</f>
        <v>715</v>
      </c>
      <c r="L2" s="20">
        <f>Beregningsskema!N14</f>
        <v>190.66666666666666</v>
      </c>
      <c r="M2" s="20">
        <f>Beregningsskema!X14</f>
        <v>350</v>
      </c>
      <c r="N2" s="20">
        <f>Beregningsskema!AA14</f>
        <v>2981.484264878984</v>
      </c>
      <c r="O2" s="20" t="str">
        <f>CONCATENATE(Beregningsskema!$R$9, Beregningsskema!$R$10,Beregningsskema!$R$11,Beregningsskema!$R$12)</f>
        <v xml:space="preserve">Overgang fra gas til el </v>
      </c>
      <c r="P2" s="20" t="str">
        <f>CONCATENATE(Beregningsskema!$T$11,Beregningsskema!$T$12)</f>
        <v>Termovinduer</v>
      </c>
      <c r="Q2" s="20" t="str">
        <f>CONCATENATE(Beregningsskema!$V$11,Beregningsskema!$V$12)</f>
        <v>Brandsikring</v>
      </c>
      <c r="S2" s="20">
        <f>Beregningsskema!R14</f>
        <v>147</v>
      </c>
      <c r="T2" s="20">
        <f>Beregningsskema!T14</f>
        <v>65</v>
      </c>
      <c r="U2" s="20">
        <f>Beregningsskema!V14</f>
        <v>55</v>
      </c>
    </row>
    <row r="3" spans="1:22">
      <c r="A3" s="19" t="str">
        <f>Beregningsskema!C15</f>
        <v>Børge Bentzen</v>
      </c>
      <c r="B3" s="19" t="str">
        <f>Beregningsskema!$I$2</f>
        <v xml:space="preserve">Vimmersvej 4, </v>
      </c>
      <c r="C3" s="19" t="str">
        <f>Beregningsskema!B15</f>
        <v>st.th.</v>
      </c>
      <c r="D3" s="19" t="str">
        <f>Beregningsskema!$N$2</f>
        <v>8000 Aarhus C.</v>
      </c>
      <c r="E3" s="20">
        <f>Beregningsskema!AC15</f>
        <v>73</v>
      </c>
      <c r="F3" s="20">
        <f>Beregningsskema!D15</f>
        <v>2650</v>
      </c>
      <c r="G3" s="20">
        <f>Beregningsskema!H15</f>
        <v>445.17339864274982</v>
      </c>
      <c r="H3" s="20">
        <f>Beregningsskema!F15</f>
        <v>38601.775126050423</v>
      </c>
      <c r="I3" s="20">
        <f>Beregningsskema!J15</f>
        <v>39046.948524693173</v>
      </c>
      <c r="J3" s="20">
        <f>Beregningsskema!L15</f>
        <v>1982.4957103910979</v>
      </c>
      <c r="K3" s="20">
        <f>Beregningsskema!P15</f>
        <v>1003.75</v>
      </c>
      <c r="L3" s="20">
        <f>Beregningsskema!N15</f>
        <v>267.66666666666669</v>
      </c>
      <c r="M3" s="20">
        <f>Beregningsskema!X15</f>
        <v>450</v>
      </c>
      <c r="N3" s="20">
        <f>Beregningsskema!AA15</f>
        <v>4011.9123770577644</v>
      </c>
      <c r="O3" s="20" t="str">
        <f>CONCATENATE(Beregningsskema!$R$9, Beregningsskema!$R$10,Beregningsskema!$R$11,Beregningsskema!$R$12)</f>
        <v xml:space="preserve">Overgang fra gas til el </v>
      </c>
      <c r="P3" s="20" t="str">
        <f>CONCATENATE(Beregningsskema!$T$11,Beregningsskema!$T$12)</f>
        <v>Termovinduer</v>
      </c>
      <c r="Q3" s="20" t="str">
        <f>CONCATENATE(Beregningsskema!$V$11,Beregningsskema!$V$12)</f>
        <v>Brandsikring</v>
      </c>
      <c r="S3" s="20">
        <f>Beregningsskema!R15</f>
        <v>147</v>
      </c>
      <c r="T3" s="20">
        <f>Beregningsskema!T15</f>
        <v>87</v>
      </c>
      <c r="U3" s="20">
        <f>Beregningsskema!V15</f>
        <v>74</v>
      </c>
    </row>
    <row r="4" spans="1:22">
      <c r="A4" s="19" t="str">
        <f>Beregningsskema!C16</f>
        <v>Charley Christensen</v>
      </c>
      <c r="B4" s="19" t="str">
        <f>Beregningsskema!$I$2</f>
        <v xml:space="preserve">Vimmersvej 4, </v>
      </c>
      <c r="C4" s="19" t="str">
        <f>Beregningsskema!B16</f>
        <v>1.tv.</v>
      </c>
      <c r="D4" s="19" t="str">
        <f>Beregningsskema!$N$2</f>
        <v>8000 Aarhus C.</v>
      </c>
      <c r="E4" s="20">
        <f>Beregningsskema!AC16</f>
        <v>52</v>
      </c>
      <c r="F4" s="20">
        <f>Beregningsskema!D16</f>
        <v>1950</v>
      </c>
      <c r="G4" s="20">
        <f>Beregningsskema!H16</f>
        <v>324.14646315221398</v>
      </c>
      <c r="H4" s="20">
        <f>Beregningsskema!F16</f>
        <v>28049.664715395596</v>
      </c>
      <c r="I4" s="20">
        <f>Beregningsskema!J16</f>
        <v>28373.81117854781</v>
      </c>
      <c r="J4" s="20">
        <f>Beregningsskema!L16</f>
        <v>1458.8175982123173</v>
      </c>
      <c r="K4" s="20">
        <f>Beregningsskema!P16</f>
        <v>715</v>
      </c>
      <c r="L4" s="20">
        <f>Beregningsskema!N16</f>
        <v>190.66666666666666</v>
      </c>
      <c r="M4" s="20">
        <f>Beregningsskema!X16</f>
        <v>350</v>
      </c>
      <c r="N4" s="20">
        <f>Beregningsskema!AA16</f>
        <v>2981.484264878984</v>
      </c>
      <c r="O4" s="20" t="str">
        <f>CONCATENATE(Beregningsskema!$R$9, Beregningsskema!$R$10,Beregningsskema!$R$11,Beregningsskema!$R$12)</f>
        <v xml:space="preserve">Overgang fra gas til el </v>
      </c>
      <c r="P4" s="20" t="str">
        <f>CONCATENATE(Beregningsskema!$T$11,Beregningsskema!$T$12)</f>
        <v>Termovinduer</v>
      </c>
      <c r="Q4" s="20" t="str">
        <f>CONCATENATE(Beregningsskema!$V$11,Beregningsskema!$V$12)</f>
        <v>Brandsikring</v>
      </c>
      <c r="S4" s="20">
        <f>Beregningsskema!R16</f>
        <v>147</v>
      </c>
      <c r="T4" s="20">
        <f>Beregningsskema!T16</f>
        <v>65</v>
      </c>
      <c r="U4" s="20">
        <f>Beregningsskema!V16</f>
        <v>55</v>
      </c>
    </row>
    <row r="5" spans="1:22">
      <c r="A5" s="19" t="str">
        <f>Beregningsskema!C17</f>
        <v>Dorthe Digmann</v>
      </c>
      <c r="B5" s="19" t="str">
        <f>Beregningsskema!$I$2</f>
        <v xml:space="preserve">Vimmersvej 4, </v>
      </c>
      <c r="C5" s="19" t="str">
        <f>Beregningsskema!B17</f>
        <v>1.th.</v>
      </c>
      <c r="D5" s="19" t="str">
        <f>Beregningsskema!$N$2</f>
        <v>8000 Aarhus C.</v>
      </c>
      <c r="E5" s="20">
        <f>Beregningsskema!AC17</f>
        <v>73</v>
      </c>
      <c r="F5" s="20">
        <f>Beregningsskema!D17</f>
        <v>2650</v>
      </c>
      <c r="G5" s="20">
        <f>Beregningsskema!H17</f>
        <v>445.17339864274982</v>
      </c>
      <c r="H5" s="20">
        <f>Beregningsskema!F17</f>
        <v>38601.775126050423</v>
      </c>
      <c r="I5" s="20">
        <f>Beregningsskema!J17</f>
        <v>39046.948524693173</v>
      </c>
      <c r="J5" s="20">
        <f>Beregningsskema!L17</f>
        <v>1982.4957103910979</v>
      </c>
      <c r="K5" s="20">
        <f>Beregningsskema!P17</f>
        <v>1003.75</v>
      </c>
      <c r="L5" s="20">
        <f>Beregningsskema!N17</f>
        <v>267.66666666666669</v>
      </c>
      <c r="M5" s="20">
        <f>Beregningsskema!X17</f>
        <v>450</v>
      </c>
      <c r="N5" s="20">
        <f>Beregningsskema!AA17</f>
        <v>4017.9123770577644</v>
      </c>
      <c r="O5" s="20" t="str">
        <f>CONCATENATE(Beregningsskema!$R$9, Beregningsskema!$R$10,Beregningsskema!$R$11,Beregningsskema!$R$12)</f>
        <v xml:space="preserve">Overgang fra gas til el </v>
      </c>
      <c r="P5" s="20" t="str">
        <f>CONCATENATE(Beregningsskema!$T$11,Beregningsskema!$T$12)</f>
        <v>Termovinduer</v>
      </c>
      <c r="Q5" s="20" t="str">
        <f>CONCATENATE(Beregningsskema!$V$11,Beregningsskema!$V$12)</f>
        <v>Brandsikring</v>
      </c>
      <c r="S5" s="20">
        <f>Beregningsskema!R17</f>
        <v>147</v>
      </c>
      <c r="T5" s="20">
        <f>Beregningsskema!T17</f>
        <v>93</v>
      </c>
      <c r="U5" s="20">
        <f>Beregningsskema!V17</f>
        <v>74</v>
      </c>
    </row>
    <row r="6" spans="1:22">
      <c r="A6" s="19" t="str">
        <f>Beregningsskema!C18</f>
        <v>Egon Eriksen</v>
      </c>
      <c r="B6" s="19" t="str">
        <f>Beregningsskema!$I$2</f>
        <v xml:space="preserve">Vimmersvej 4, </v>
      </c>
      <c r="C6" s="19" t="str">
        <f>Beregningsskema!B18</f>
        <v>2.tv.</v>
      </c>
      <c r="D6" s="19" t="str">
        <f>Beregningsskema!$N$2</f>
        <v>8000 Aarhus C.</v>
      </c>
      <c r="E6" s="20">
        <f>Beregningsskema!AC18</f>
        <v>52</v>
      </c>
      <c r="F6" s="20">
        <f>Beregningsskema!D18</f>
        <v>1950</v>
      </c>
      <c r="G6" s="20">
        <f>Beregningsskema!H18</f>
        <v>324.14646315221398</v>
      </c>
      <c r="H6" s="20">
        <f>Beregningsskema!F18</f>
        <v>28049.664715395596</v>
      </c>
      <c r="I6" s="20">
        <f>Beregningsskema!J18</f>
        <v>28373.81117854781</v>
      </c>
      <c r="J6" s="20">
        <f>Beregningsskema!L18</f>
        <v>1458.8175982123173</v>
      </c>
      <c r="K6" s="20">
        <f>Beregningsskema!P18</f>
        <v>715</v>
      </c>
      <c r="L6" s="20">
        <f>Beregningsskema!N18</f>
        <v>190.66666666666666</v>
      </c>
      <c r="M6" s="20">
        <f>Beregningsskema!X18</f>
        <v>350</v>
      </c>
      <c r="N6" s="20">
        <f>Beregningsskema!AA18</f>
        <v>2981.484264878984</v>
      </c>
      <c r="O6" s="20" t="str">
        <f>CONCATENATE(Beregningsskema!$R$9, Beregningsskema!$R$10,Beregningsskema!$R$11,Beregningsskema!$R$12)</f>
        <v xml:space="preserve">Overgang fra gas til el </v>
      </c>
      <c r="P6" s="20" t="str">
        <f>CONCATENATE(Beregningsskema!$T$11,Beregningsskema!$T$12)</f>
        <v>Termovinduer</v>
      </c>
      <c r="Q6" s="20" t="str">
        <f>CONCATENATE(Beregningsskema!$V$11,Beregningsskema!$V$12)</f>
        <v>Brandsikring</v>
      </c>
      <c r="S6" s="20">
        <f>Beregningsskema!R18</f>
        <v>147</v>
      </c>
      <c r="T6" s="20">
        <f>Beregningsskema!T18</f>
        <v>65</v>
      </c>
      <c r="U6" s="20">
        <f>Beregningsskema!V18</f>
        <v>55</v>
      </c>
    </row>
    <row r="7" spans="1:22">
      <c r="A7" s="19" t="str">
        <f>Beregningsskema!C19</f>
        <v>Finn Frederiksen</v>
      </c>
      <c r="B7" s="19" t="str">
        <f>Beregningsskema!$I$2</f>
        <v xml:space="preserve">Vimmersvej 4, </v>
      </c>
      <c r="C7" s="19" t="str">
        <f>Beregningsskema!B19</f>
        <v>2.th.</v>
      </c>
      <c r="D7" s="19" t="str">
        <f>Beregningsskema!$N$2</f>
        <v>8000 Aarhus C.</v>
      </c>
      <c r="E7" s="20">
        <f>Beregningsskema!AC19</f>
        <v>73</v>
      </c>
      <c r="F7" s="20">
        <f>Beregningsskema!D19</f>
        <v>2650</v>
      </c>
      <c r="G7" s="20">
        <f>Beregningsskema!H19</f>
        <v>445.17339864274982</v>
      </c>
      <c r="H7" s="20">
        <f>Beregningsskema!F19</f>
        <v>38601.775126050423</v>
      </c>
      <c r="I7" s="20">
        <f>Beregningsskema!J19</f>
        <v>39046.948524693173</v>
      </c>
      <c r="J7" s="20">
        <f>Beregningsskema!L19</f>
        <v>1982.4957103910979</v>
      </c>
      <c r="K7" s="20">
        <f>Beregningsskema!P19</f>
        <v>1003.75</v>
      </c>
      <c r="L7" s="20">
        <f>Beregningsskema!N19</f>
        <v>267.66666666666669</v>
      </c>
      <c r="M7" s="20">
        <f>Beregningsskema!X19</f>
        <v>450</v>
      </c>
      <c r="N7" s="20">
        <f>Beregningsskema!AA19</f>
        <v>4017.9123770577644</v>
      </c>
      <c r="O7" s="20" t="str">
        <f>CONCATENATE(Beregningsskema!$R$9, Beregningsskema!$R$10,Beregningsskema!$R$11,Beregningsskema!$R$12)</f>
        <v xml:space="preserve">Overgang fra gas til el </v>
      </c>
      <c r="P7" s="20" t="str">
        <f>CONCATENATE(Beregningsskema!$T$11,Beregningsskema!$T$12)</f>
        <v>Termovinduer</v>
      </c>
      <c r="Q7" s="20" t="str">
        <f>CONCATENATE(Beregningsskema!$V$11,Beregningsskema!$V$12)</f>
        <v>Brandsikring</v>
      </c>
      <c r="S7" s="20">
        <f>Beregningsskema!R19</f>
        <v>147</v>
      </c>
      <c r="T7" s="20">
        <f>Beregningsskema!T19</f>
        <v>93</v>
      </c>
      <c r="U7" s="20">
        <f>Beregningsskema!V19</f>
        <v>74</v>
      </c>
    </row>
    <row r="8" spans="1:22">
      <c r="A8" s="19" t="str">
        <f>Beregningsskema!C20</f>
        <v>Gunna Gregersen</v>
      </c>
      <c r="B8" s="19" t="str">
        <f>Beregningsskema!$I$2</f>
        <v xml:space="preserve">Vimmersvej 4, </v>
      </c>
      <c r="C8" s="19" t="str">
        <f>Beregningsskema!B20</f>
        <v>3.tv.</v>
      </c>
      <c r="D8" s="19" t="str">
        <f>Beregningsskema!$N$2</f>
        <v>8000 Aarhus C.</v>
      </c>
      <c r="E8" s="20">
        <f>Beregningsskema!AC20</f>
        <v>52</v>
      </c>
      <c r="F8" s="20">
        <f>Beregningsskema!D20</f>
        <v>1850</v>
      </c>
      <c r="G8" s="20">
        <f>Beregningsskema!H20</f>
        <v>312.85690093928133</v>
      </c>
      <c r="H8" s="20">
        <f>Beregningsskema!F20</f>
        <v>27163.220371016334</v>
      </c>
      <c r="I8" s="20">
        <f>Beregningsskema!J20</f>
        <v>27476.077271955615</v>
      </c>
      <c r="J8" s="20">
        <f>Beregningsskema!L20</f>
        <v>1384.0064393296343</v>
      </c>
      <c r="K8" s="20">
        <f>Beregningsskema!P20</f>
        <v>715</v>
      </c>
      <c r="L8" s="20">
        <f>Beregningsskema!N20</f>
        <v>190.66666666666666</v>
      </c>
      <c r="M8" s="20">
        <f>Beregningsskema!X20</f>
        <v>400</v>
      </c>
      <c r="N8" s="20">
        <f>Beregningsskema!AA20</f>
        <v>2953.6731059963013</v>
      </c>
      <c r="O8" s="20" t="str">
        <f>CONCATENATE(Beregningsskema!$R$9, Beregningsskema!$R$10,Beregningsskema!$R$11,Beregningsskema!$R$12)</f>
        <v xml:space="preserve">Overgang fra gas til el </v>
      </c>
      <c r="P8" s="20" t="str">
        <f>CONCATENATE(Beregningsskema!$T$11,Beregningsskema!$T$12)</f>
        <v>Termovinduer</v>
      </c>
      <c r="Q8" s="20" t="str">
        <f>CONCATENATE(Beregningsskema!$V$11,Beregningsskema!$V$12)</f>
        <v>Brandsikring</v>
      </c>
      <c r="S8" s="20">
        <f>Beregningsskema!R20</f>
        <v>147</v>
      </c>
      <c r="T8" s="20">
        <f>Beregningsskema!T20</f>
        <v>65</v>
      </c>
      <c r="U8" s="20">
        <f>Beregningsskema!V20</f>
        <v>52</v>
      </c>
    </row>
    <row r="9" spans="1:22">
      <c r="A9" s="19" t="str">
        <f>Beregningsskema!C21</f>
        <v>Hans Hansen</v>
      </c>
      <c r="B9" s="19" t="str">
        <f>Beregningsskema!$I$2</f>
        <v xml:space="preserve">Vimmersvej 4, </v>
      </c>
      <c r="C9" s="19" t="str">
        <f>Beregningsskema!B21</f>
        <v>3.th.</v>
      </c>
      <c r="D9" s="19" t="str">
        <f>Beregningsskema!$N$2</f>
        <v>8000 Aarhus C.</v>
      </c>
      <c r="E9" s="20">
        <f>Beregningsskema!AC21</f>
        <v>85</v>
      </c>
      <c r="F9" s="20">
        <f>Beregningsskema!D21</f>
        <v>2900</v>
      </c>
      <c r="G9" s="20">
        <f>Beregningsskema!H21</f>
        <v>497.3973041750869</v>
      </c>
      <c r="H9" s="20">
        <f>Beregningsskema!F21</f>
        <v>43301.885986998575</v>
      </c>
      <c r="I9" s="20">
        <f>Beregningsskema!J21</f>
        <v>43799.283291173662</v>
      </c>
      <c r="J9" s="20">
        <f>Beregningsskema!L21</f>
        <v>2169.523607597805</v>
      </c>
      <c r="K9" s="20">
        <f>Beregningsskema!P21</f>
        <v>1168.75</v>
      </c>
      <c r="L9" s="20">
        <f>Beregningsskema!N21</f>
        <v>311.66666666666669</v>
      </c>
      <c r="M9" s="20">
        <f>Beregningsskema!X21</f>
        <v>500</v>
      </c>
      <c r="N9" s="20">
        <f>Beregningsskema!AA21</f>
        <v>4484.9402742644716</v>
      </c>
      <c r="O9" s="20" t="str">
        <f>CONCATENATE(Beregningsskema!$R$9, Beregningsskema!$R$10,Beregningsskema!$R$11,Beregningsskema!$R$12)</f>
        <v xml:space="preserve">Overgang fra gas til el </v>
      </c>
      <c r="P9" s="20" t="str">
        <f>CONCATENATE(Beregningsskema!$T$11,Beregningsskema!$T$12)</f>
        <v>Termovinduer</v>
      </c>
      <c r="Q9" s="20" t="str">
        <f>CONCATENATE(Beregningsskema!$V$11,Beregningsskema!$V$12)</f>
        <v>Brandsikring</v>
      </c>
      <c r="S9" s="20">
        <f>Beregningsskema!R21</f>
        <v>147</v>
      </c>
      <c r="T9" s="20">
        <f>Beregningsskema!T21</f>
        <v>107</v>
      </c>
      <c r="U9" s="20">
        <f>Beregningsskema!V21</f>
        <v>81</v>
      </c>
    </row>
    <row r="10" spans="1:22" ht="12.75" customHeight="1"/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>
    <oddHeader>&amp;A</oddHeader>
    <oddFooter>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opLeftCell="A17" workbookViewId="0">
      <selection activeCell="F13" sqref="F13"/>
    </sheetView>
  </sheetViews>
  <sheetFormatPr defaultColWidth="9.28515625" defaultRowHeight="12.75"/>
  <cols>
    <col min="1" max="1" width="5.85546875" style="6" customWidth="1"/>
    <col min="2" max="2" width="1.85546875" style="6" customWidth="1"/>
    <col min="3" max="3" width="10.85546875" style="6" customWidth="1"/>
    <col min="4" max="4" width="14.28515625" style="6" customWidth="1"/>
    <col min="5" max="5" width="10" style="6" customWidth="1"/>
    <col min="6" max="7" width="14" style="6" customWidth="1"/>
    <col min="8" max="9" width="9.28515625" style="6" customWidth="1"/>
    <col min="10" max="10" width="9.42578125" style="6" customWidth="1"/>
    <col min="11" max="16384" width="9.28515625" style="6"/>
  </cols>
  <sheetData>
    <row r="1" spans="1:11" ht="15.75">
      <c r="A1" s="37" t="s">
        <v>62</v>
      </c>
      <c r="B1" s="37"/>
      <c r="C1" s="37"/>
      <c r="D1" s="37"/>
      <c r="E1" s="37"/>
      <c r="F1" s="37"/>
      <c r="G1" s="37"/>
      <c r="H1" s="37"/>
      <c r="I1" s="37"/>
      <c r="J1" s="37"/>
    </row>
    <row r="2" spans="1:11" ht="15.75">
      <c r="A2" s="38" t="str">
        <f>CONCATENATE(Beregningsskema!I2,Beregningsskema!N2)</f>
        <v>Vimmersvej 4, 8000 Aarhus C.</v>
      </c>
      <c r="B2" s="38"/>
      <c r="C2" s="38"/>
      <c r="D2" s="38"/>
      <c r="E2" s="38"/>
      <c r="F2" s="38"/>
      <c r="G2" s="38"/>
      <c r="H2" s="38"/>
      <c r="I2" s="38"/>
      <c r="J2" s="38"/>
      <c r="K2" s="10"/>
    </row>
    <row r="3" spans="1:11">
      <c r="A3" s="39"/>
      <c r="B3" s="39"/>
      <c r="C3" s="39"/>
      <c r="D3" s="39"/>
      <c r="E3" s="39"/>
      <c r="F3" s="40" t="s">
        <v>63</v>
      </c>
      <c r="G3" s="40" t="s">
        <v>338</v>
      </c>
      <c r="H3" s="41"/>
      <c r="I3" s="39"/>
      <c r="J3" s="39"/>
      <c r="K3" s="39"/>
    </row>
    <row r="4" spans="1:11" ht="15.75">
      <c r="A4" s="42" t="s">
        <v>64</v>
      </c>
      <c r="F4" s="166" t="s">
        <v>397</v>
      </c>
      <c r="G4" s="126" t="s">
        <v>409</v>
      </c>
      <c r="H4" s="44" t="s">
        <v>65</v>
      </c>
      <c r="I4" s="18"/>
      <c r="J4" s="18"/>
    </row>
    <row r="5" spans="1:11" ht="3.75" customHeight="1">
      <c r="A5" s="45"/>
      <c r="B5" s="45"/>
      <c r="C5" s="45"/>
      <c r="D5" s="45"/>
      <c r="E5" s="45"/>
      <c r="F5" s="46"/>
      <c r="G5" s="46"/>
      <c r="H5" s="46"/>
      <c r="I5" s="45"/>
      <c r="J5" s="45"/>
      <c r="K5" s="47"/>
    </row>
    <row r="6" spans="1:11" ht="17.25" customHeight="1">
      <c r="B6" s="6" t="s">
        <v>66</v>
      </c>
      <c r="F6" s="48">
        <v>49125.78</v>
      </c>
      <c r="G6" s="49">
        <f>Skatter!I20</f>
        <v>51392.38272619839</v>
      </c>
      <c r="H6" s="50"/>
    </row>
    <row r="7" spans="1:11">
      <c r="B7" s="6" t="s">
        <v>67</v>
      </c>
      <c r="F7" s="48">
        <v>40782.35</v>
      </c>
      <c r="G7" s="49">
        <f>Afgifter!K21</f>
        <v>41039.46</v>
      </c>
      <c r="H7" s="50"/>
    </row>
    <row r="8" spans="1:11">
      <c r="B8" s="6" t="s">
        <v>68</v>
      </c>
      <c r="F8" s="48">
        <v>0</v>
      </c>
      <c r="G8" s="49">
        <v>0</v>
      </c>
      <c r="H8" s="50"/>
    </row>
    <row r="9" spans="1:11">
      <c r="B9" s="6" t="s">
        <v>69</v>
      </c>
      <c r="F9" s="48">
        <v>0</v>
      </c>
      <c r="G9" s="49">
        <v>0</v>
      </c>
      <c r="H9" s="50"/>
    </row>
    <row r="10" spans="1:11">
      <c r="B10" s="6" t="s">
        <v>70</v>
      </c>
      <c r="F10" s="48">
        <v>4687.79</v>
      </c>
      <c r="G10" s="49">
        <f>'Øvrige beregninger'!I41</f>
        <v>4924.0499999999993</v>
      </c>
      <c r="H10" s="50"/>
    </row>
    <row r="11" spans="1:11">
      <c r="B11" s="6" t="s">
        <v>71</v>
      </c>
      <c r="F11" s="48">
        <v>3156.15</v>
      </c>
      <c r="G11" s="49">
        <f>Afgifter!K12</f>
        <v>2287</v>
      </c>
      <c r="H11" s="50"/>
    </row>
    <row r="12" spans="1:11">
      <c r="B12" s="6" t="s">
        <v>72</v>
      </c>
      <c r="F12" s="48">
        <v>21037.5</v>
      </c>
      <c r="G12" s="49">
        <f>'Øvrige beregninger'!I20</f>
        <v>21276.5625</v>
      </c>
      <c r="H12" s="50"/>
    </row>
    <row r="13" spans="1:11">
      <c r="B13" s="6" t="s">
        <v>73</v>
      </c>
      <c r="F13" s="48">
        <v>30600</v>
      </c>
      <c r="G13" s="49">
        <f>'Øvrige beregninger'!I26</f>
        <v>30839.0625</v>
      </c>
      <c r="H13" s="50"/>
    </row>
    <row r="14" spans="1:11">
      <c r="B14" s="6" t="s">
        <v>74</v>
      </c>
      <c r="F14" s="48">
        <v>14798.01</v>
      </c>
      <c r="G14" s="49">
        <f>'Øvrige beregninger'!I50</f>
        <v>14697.434999999999</v>
      </c>
      <c r="H14" s="50"/>
    </row>
    <row r="15" spans="1:11">
      <c r="B15" s="6" t="s">
        <v>75</v>
      </c>
      <c r="F15" s="48">
        <v>956.25</v>
      </c>
      <c r="G15" s="49">
        <f>'Øvrige beregninger'!I53</f>
        <v>956.25</v>
      </c>
      <c r="H15" s="50"/>
    </row>
    <row r="16" spans="1:11">
      <c r="F16" s="48"/>
      <c r="G16" s="49"/>
      <c r="H16" s="50"/>
    </row>
    <row r="17" spans="1:10" ht="15.75">
      <c r="A17" s="42" t="s">
        <v>76</v>
      </c>
      <c r="F17" s="48"/>
      <c r="G17" s="49"/>
      <c r="H17" s="50"/>
    </row>
    <row r="18" spans="1:10" ht="18" customHeight="1">
      <c r="B18" s="6" t="s">
        <v>77</v>
      </c>
      <c r="F18" s="48"/>
      <c r="G18" s="49"/>
      <c r="H18" s="50"/>
    </row>
    <row r="19" spans="1:10">
      <c r="B19" s="6" t="s">
        <v>78</v>
      </c>
      <c r="E19" s="51">
        <v>290000</v>
      </c>
      <c r="F19" s="48">
        <v>20300</v>
      </c>
      <c r="G19" s="49">
        <f>E19*0.07</f>
        <v>20300.000000000004</v>
      </c>
      <c r="H19" s="50"/>
    </row>
    <row r="20" spans="1:10">
      <c r="B20" s="6" t="s">
        <v>79</v>
      </c>
      <c r="F20" s="50"/>
      <c r="G20" s="43"/>
      <c r="H20" s="50"/>
    </row>
    <row r="21" spans="1:10" ht="4.5" customHeight="1">
      <c r="F21" s="52"/>
      <c r="G21" s="49"/>
      <c r="H21" s="50"/>
    </row>
    <row r="22" spans="1:10">
      <c r="B22" s="6" t="s">
        <v>80</v>
      </c>
      <c r="F22" s="52"/>
      <c r="G22" s="49"/>
      <c r="H22" s="50"/>
    </row>
    <row r="23" spans="1:10" ht="4.5" customHeight="1">
      <c r="F23" s="52"/>
      <c r="G23" s="49"/>
      <c r="H23" s="50"/>
    </row>
    <row r="24" spans="1:10">
      <c r="B24" s="6" t="s">
        <v>81</v>
      </c>
      <c r="F24" s="50"/>
      <c r="G24" s="43"/>
      <c r="H24" s="50"/>
    </row>
    <row r="25" spans="1:10">
      <c r="B25" s="6" t="s">
        <v>82</v>
      </c>
      <c r="F25" s="48">
        <v>11107.89</v>
      </c>
      <c r="G25" s="53">
        <f>Henlæggelser!J46</f>
        <v>11342.757195257771</v>
      </c>
      <c r="H25" s="50"/>
    </row>
    <row r="26" spans="1:10" ht="8.25" customHeight="1">
      <c r="F26" s="52"/>
      <c r="G26" s="49"/>
      <c r="H26" s="50"/>
    </row>
    <row r="27" spans="1:10">
      <c r="B27" s="6" t="s">
        <v>83</v>
      </c>
      <c r="D27" s="6" t="s">
        <v>84</v>
      </c>
      <c r="F27" s="52"/>
      <c r="G27" s="49"/>
      <c r="H27" s="50"/>
    </row>
    <row r="28" spans="1:10">
      <c r="B28" s="6" t="s">
        <v>85</v>
      </c>
      <c r="F28" s="52"/>
      <c r="G28" s="49"/>
      <c r="H28" s="50"/>
    </row>
    <row r="29" spans="1:10" ht="9" customHeight="1">
      <c r="C29" s="39" t="s">
        <v>86</v>
      </c>
      <c r="F29" s="52"/>
      <c r="G29" s="49"/>
      <c r="H29" s="50"/>
    </row>
    <row r="30" spans="1:10" ht="6" customHeight="1">
      <c r="A30" s="8"/>
      <c r="B30" s="8"/>
      <c r="C30" s="8"/>
      <c r="D30" s="8"/>
      <c r="E30" s="8"/>
      <c r="F30" s="54"/>
      <c r="G30" s="55"/>
      <c r="H30" s="50"/>
      <c r="I30" s="10"/>
      <c r="J30" s="10"/>
    </row>
    <row r="31" spans="1:10" ht="15.75" customHeight="1">
      <c r="A31" s="56" t="s">
        <v>87</v>
      </c>
      <c r="B31" s="8"/>
      <c r="C31" s="8"/>
      <c r="D31" s="8"/>
      <c r="E31" s="8"/>
      <c r="F31" s="55">
        <f>SUM(F6:F30)</f>
        <v>196551.72000000003</v>
      </c>
      <c r="G31" s="55">
        <f>SUM(G6:G30)</f>
        <v>199054.95992145617</v>
      </c>
      <c r="H31" s="50"/>
    </row>
    <row r="32" spans="1:10" ht="3.75" customHeight="1">
      <c r="F32" s="52"/>
      <c r="G32" s="52"/>
      <c r="H32" s="50"/>
    </row>
    <row r="33" spans="1:8" ht="13.5" customHeight="1">
      <c r="A33" s="42" t="s">
        <v>88</v>
      </c>
      <c r="F33" s="52"/>
      <c r="G33" s="52"/>
      <c r="H33" s="50"/>
    </row>
    <row r="34" spans="1:8">
      <c r="B34" s="6" t="s">
        <v>89</v>
      </c>
      <c r="E34" s="57">
        <f>Henlæggelser!H26/100</f>
        <v>0.83660130718954251</v>
      </c>
      <c r="F34" s="52"/>
      <c r="G34" s="52"/>
      <c r="H34" s="50"/>
    </row>
    <row r="35" spans="1:8" ht="13.5" customHeight="1">
      <c r="B35" s="24" t="s">
        <v>90</v>
      </c>
      <c r="F35" s="48">
        <f>F31*E34</f>
        <v>164435.42588235298</v>
      </c>
      <c r="G35" s="49">
        <f>G31*E34</f>
        <v>166529.63967285224</v>
      </c>
      <c r="H35" s="50"/>
    </row>
    <row r="36" spans="1:8">
      <c r="B36" s="6" t="s">
        <v>91</v>
      </c>
      <c r="F36" s="54"/>
      <c r="G36" s="55">
        <f>F35</f>
        <v>164435.42588235298</v>
      </c>
      <c r="H36" s="50"/>
    </row>
    <row r="37" spans="1:8" ht="14.25" customHeight="1">
      <c r="A37" s="24" t="s">
        <v>92</v>
      </c>
      <c r="F37" s="52"/>
      <c r="G37" s="49">
        <f>G35-G36</f>
        <v>2094.213790499256</v>
      </c>
      <c r="H37" s="50"/>
    </row>
    <row r="38" spans="1:8" ht="3.75" customHeight="1">
      <c r="A38" s="8"/>
      <c r="B38" s="8"/>
      <c r="C38" s="8"/>
      <c r="D38" s="8"/>
      <c r="E38" s="8"/>
      <c r="F38" s="54"/>
      <c r="G38" s="54"/>
      <c r="H38" s="50"/>
    </row>
    <row r="39" spans="1:8" ht="16.5" customHeight="1">
      <c r="A39" s="58" t="s">
        <v>93</v>
      </c>
      <c r="B39" s="59"/>
      <c r="C39" s="59"/>
      <c r="D39" s="59"/>
      <c r="E39" s="59"/>
      <c r="F39" s="52"/>
      <c r="G39" s="52"/>
      <c r="H39" s="50"/>
    </row>
    <row r="40" spans="1:8" ht="5.25" customHeight="1">
      <c r="F40" s="52"/>
      <c r="G40" s="52"/>
      <c r="H40" s="50"/>
    </row>
    <row r="41" spans="1:8">
      <c r="A41" s="24" t="s">
        <v>94</v>
      </c>
      <c r="C41" s="29">
        <f>Beregningsskema!AC23</f>
        <v>512</v>
      </c>
      <c r="D41" s="6" t="s">
        <v>95</v>
      </c>
      <c r="E41" s="60">
        <f>Henlæggelser!F52</f>
        <v>86</v>
      </c>
      <c r="F41" s="48">
        <f>C41*85</f>
        <v>43520</v>
      </c>
      <c r="G41" s="49">
        <f>C41*E41</f>
        <v>44032</v>
      </c>
      <c r="H41" s="50"/>
    </row>
    <row r="42" spans="1:8">
      <c r="A42" s="24" t="s">
        <v>96</v>
      </c>
      <c r="C42" s="29">
        <f>Beregningsskema!AC23</f>
        <v>512</v>
      </c>
      <c r="D42" s="6" t="s">
        <v>95</v>
      </c>
      <c r="E42" s="60">
        <f>Henlæggelser!F58</f>
        <v>79</v>
      </c>
      <c r="F42" s="48">
        <f>C42*78</f>
        <v>39936</v>
      </c>
      <c r="G42" s="49">
        <f>C42*E42</f>
        <v>40448</v>
      </c>
      <c r="H42" s="50"/>
    </row>
    <row r="43" spans="1:8">
      <c r="A43" s="24" t="s">
        <v>97</v>
      </c>
      <c r="C43" s="61">
        <f>Beregningsskema!AC23</f>
        <v>512</v>
      </c>
      <c r="D43" s="6" t="s">
        <v>95</v>
      </c>
      <c r="E43" s="62">
        <f>Beregningsskema!H5</f>
        <v>44</v>
      </c>
      <c r="F43" s="63">
        <f>C43*44</f>
        <v>22528</v>
      </c>
      <c r="G43" s="55">
        <f>C43*E43</f>
        <v>22528</v>
      </c>
      <c r="H43" s="50"/>
    </row>
    <row r="44" spans="1:8" ht="18" customHeight="1">
      <c r="A44" s="8"/>
      <c r="B44" s="64" t="s">
        <v>98</v>
      </c>
      <c r="C44" s="8"/>
      <c r="D44" s="8"/>
      <c r="E44" s="8"/>
      <c r="F44" s="55">
        <f>SUM(F41:F43)</f>
        <v>105984</v>
      </c>
      <c r="G44" s="55">
        <f>SUM(G41:G43)</f>
        <v>107008</v>
      </c>
      <c r="H44" s="50"/>
    </row>
    <row r="45" spans="1:8" ht="3" customHeight="1">
      <c r="F45" s="52"/>
      <c r="G45" s="49"/>
      <c r="H45" s="50"/>
    </row>
    <row r="46" spans="1:8" ht="14.25" customHeight="1">
      <c r="A46" s="56" t="s">
        <v>99</v>
      </c>
      <c r="B46" s="8"/>
      <c r="C46" s="8"/>
      <c r="D46" s="8"/>
      <c r="E46" s="8"/>
      <c r="F46" s="55">
        <f>F35+F44</f>
        <v>270419.42588235298</v>
      </c>
      <c r="G46" s="55">
        <f>G35+G44</f>
        <v>273537.63967285224</v>
      </c>
      <c r="H46" s="50"/>
    </row>
    <row r="47" spans="1:8" ht="2.25" customHeight="1">
      <c r="A47" s="65"/>
      <c r="B47" s="10"/>
      <c r="C47" s="10"/>
      <c r="D47" s="10"/>
      <c r="E47" s="10"/>
      <c r="F47" s="66"/>
      <c r="G47" s="67"/>
      <c r="H47" s="10"/>
    </row>
    <row r="48" spans="1:8" ht="14.25" customHeight="1">
      <c r="A48" s="56" t="s">
        <v>100</v>
      </c>
      <c r="B48" s="8"/>
      <c r="C48" s="8"/>
      <c r="D48" s="8"/>
      <c r="E48" s="8"/>
      <c r="F48" s="9"/>
      <c r="G48" s="68">
        <f>G37+G44-F44</f>
        <v>3118.213790499256</v>
      </c>
      <c r="H48" s="10"/>
    </row>
    <row r="50" spans="1:10">
      <c r="B50" s="39" t="s">
        <v>101</v>
      </c>
    </row>
    <row r="51" spans="1:10">
      <c r="B51" s="6" t="s">
        <v>102</v>
      </c>
    </row>
    <row r="52" spans="1:10">
      <c r="B52" s="6" t="s">
        <v>103</v>
      </c>
    </row>
    <row r="54" spans="1:10">
      <c r="A54" s="6" t="s">
        <v>104</v>
      </c>
    </row>
    <row r="55" spans="1:10" ht="9.75" customHeight="1" thickBot="1"/>
    <row r="56" spans="1:10" ht="10.5" customHeight="1" thickBot="1">
      <c r="B56" s="69"/>
      <c r="C56" s="70" t="s">
        <v>105</v>
      </c>
      <c r="D56" s="39" t="s">
        <v>106</v>
      </c>
      <c r="J56" s="39" t="s">
        <v>107</v>
      </c>
    </row>
    <row r="57" spans="1:10" ht="9.75" customHeight="1">
      <c r="C57" s="70" t="s">
        <v>108</v>
      </c>
      <c r="D57" s="71" t="s">
        <v>109</v>
      </c>
      <c r="E57" s="72"/>
      <c r="G57" s="39" t="s">
        <v>1</v>
      </c>
    </row>
    <row r="58" spans="1:10" ht="9.75" customHeight="1">
      <c r="D58" s="39" t="s">
        <v>110</v>
      </c>
    </row>
    <row r="59" spans="1:10" ht="9" customHeight="1" thickBot="1"/>
    <row r="60" spans="1:10" ht="11.25" customHeight="1" thickBot="1">
      <c r="B60" s="69" t="s">
        <v>111</v>
      </c>
      <c r="C60" s="70" t="s">
        <v>112</v>
      </c>
      <c r="D60" s="39" t="s">
        <v>113</v>
      </c>
    </row>
    <row r="61" spans="1:10" ht="12" customHeight="1">
      <c r="D61" s="39" t="s">
        <v>114</v>
      </c>
      <c r="G61" s="73">
        <f>Beregningsskema!D23</f>
        <v>18550</v>
      </c>
    </row>
    <row r="62" spans="1:10">
      <c r="C62" s="70" t="s">
        <v>108</v>
      </c>
      <c r="D62" s="71" t="s">
        <v>115</v>
      </c>
      <c r="F62" s="29">
        <f>G35/G61</f>
        <v>8.977339065921953</v>
      </c>
      <c r="G62" s="39" t="s">
        <v>116</v>
      </c>
    </row>
    <row r="63" spans="1:10" ht="9" customHeight="1">
      <c r="D63" s="39" t="s">
        <v>117</v>
      </c>
    </row>
    <row r="64" spans="1:10" ht="13.5" thickBot="1"/>
    <row r="65" spans="2:4" ht="9" customHeight="1" thickBot="1">
      <c r="B65" s="69"/>
      <c r="C65" s="70" t="s">
        <v>112</v>
      </c>
      <c r="D65" s="39" t="s">
        <v>118</v>
      </c>
    </row>
  </sheetData>
  <phoneticPr fontId="0" type="noConversion"/>
  <pageMargins left="0.31" right="0.23" top="0.65" bottom="0.39" header="0.2" footer="0.22"/>
  <pageSetup paperSize="9" orientation="portrait" r:id="rId1"/>
  <headerFooter alignWithMargins="0"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activeCell="D6" sqref="D6"/>
    </sheetView>
  </sheetViews>
  <sheetFormatPr defaultColWidth="9.28515625" defaultRowHeight="12.75"/>
  <cols>
    <col min="1" max="1" width="6.7109375" style="6" customWidth="1"/>
    <col min="2" max="2" width="11.140625" style="6" customWidth="1"/>
    <col min="3" max="3" width="12.85546875" style="6" customWidth="1"/>
    <col min="4" max="4" width="9.28515625" style="6" customWidth="1"/>
    <col min="5" max="5" width="4" style="6" customWidth="1"/>
    <col min="6" max="6" width="15.140625" style="6" customWidth="1"/>
    <col min="7" max="7" width="4.7109375" style="6" customWidth="1"/>
    <col min="8" max="8" width="3.85546875" style="6" customWidth="1"/>
    <col min="9" max="9" width="14" style="6" customWidth="1"/>
    <col min="10" max="10" width="0.140625" style="6" customWidth="1"/>
    <col min="11" max="16384" width="9.28515625" style="6"/>
  </cols>
  <sheetData>
    <row r="1" spans="1:10" ht="15.75">
      <c r="A1" s="74" t="s">
        <v>119</v>
      </c>
      <c r="B1" s="3"/>
      <c r="C1" s="3"/>
      <c r="D1" s="3"/>
      <c r="E1" s="3"/>
      <c r="F1" s="3"/>
      <c r="G1" s="3"/>
      <c r="H1" s="3"/>
      <c r="I1" s="3"/>
      <c r="J1" s="72"/>
    </row>
    <row r="2" spans="1:10" ht="15.75">
      <c r="A2" s="38" t="str">
        <f>CONCATENATE(Beregningsskema!I2,Beregningsskema!N2)</f>
        <v>Vimmersvej 4, 8000 Aarhus C.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5.75">
      <c r="A3" s="4"/>
      <c r="B3" s="3"/>
      <c r="C3" s="3"/>
      <c r="D3" s="3"/>
      <c r="E3" s="3"/>
      <c r="F3" s="3"/>
      <c r="G3" s="3"/>
      <c r="H3" s="3"/>
      <c r="I3" s="3"/>
      <c r="J3" s="18"/>
    </row>
    <row r="6" spans="1:10">
      <c r="A6" s="75" t="s">
        <v>120</v>
      </c>
      <c r="B6" s="75"/>
      <c r="C6" s="75"/>
      <c r="D6" s="76">
        <f>Beregningsskema!D6</f>
        <v>2017</v>
      </c>
    </row>
    <row r="8" spans="1:10">
      <c r="B8" s="6" t="s">
        <v>308</v>
      </c>
      <c r="D8" s="31">
        <f>D6-2</f>
        <v>2015</v>
      </c>
      <c r="E8" s="6" t="s">
        <v>58</v>
      </c>
      <c r="F8" s="28">
        <v>14100000</v>
      </c>
    </row>
    <row r="9" spans="1:10">
      <c r="B9" s="6" t="s">
        <v>309</v>
      </c>
      <c r="D9" s="31">
        <f>D8</f>
        <v>2015</v>
      </c>
      <c r="E9" s="6" t="s">
        <v>58</v>
      </c>
      <c r="F9" s="28">
        <v>1650800</v>
      </c>
    </row>
    <row r="10" spans="1:10">
      <c r="B10" s="6" t="s">
        <v>361</v>
      </c>
      <c r="D10" s="31">
        <f>D9+2</f>
        <v>2017</v>
      </c>
      <c r="E10" s="6" t="s">
        <v>58</v>
      </c>
      <c r="F10" s="34">
        <f>I32</f>
        <v>1302375.2126199508</v>
      </c>
    </row>
    <row r="11" spans="1:10">
      <c r="A11" s="6" t="s">
        <v>121</v>
      </c>
      <c r="C11" s="184">
        <v>2.4580000000000001E-2</v>
      </c>
      <c r="D11" s="77" t="s">
        <v>122</v>
      </c>
      <c r="E11" s="6" t="s">
        <v>58</v>
      </c>
      <c r="F11" s="73">
        <f>F10</f>
        <v>1302375.2126199508</v>
      </c>
      <c r="G11" s="6" t="s">
        <v>123</v>
      </c>
      <c r="H11" s="6" t="s">
        <v>58</v>
      </c>
      <c r="I11" s="73">
        <f>C11*F11</f>
        <v>32012.38272619839</v>
      </c>
    </row>
    <row r="14" spans="1:10">
      <c r="A14" s="75" t="s">
        <v>124</v>
      </c>
      <c r="B14" s="75"/>
      <c r="C14" s="75"/>
      <c r="D14" s="76">
        <f>Beregningsskema!D6</f>
        <v>2017</v>
      </c>
    </row>
    <row r="16" spans="1:10">
      <c r="B16" s="6" t="s">
        <v>125</v>
      </c>
      <c r="D16" s="31">
        <f>Beregningsskema!D6</f>
        <v>2017</v>
      </c>
      <c r="E16" s="6" t="s">
        <v>126</v>
      </c>
    </row>
    <row r="17" spans="1:11">
      <c r="B17" s="6" t="s">
        <v>127</v>
      </c>
      <c r="D17" s="31">
        <f>D16-1</f>
        <v>2016</v>
      </c>
      <c r="E17" s="6" t="s">
        <v>58</v>
      </c>
      <c r="F17" s="28">
        <v>19000</v>
      </c>
    </row>
    <row r="18" spans="1:11">
      <c r="B18" s="6" t="s">
        <v>128</v>
      </c>
      <c r="D18" s="78">
        <v>0.02</v>
      </c>
      <c r="E18" s="6" t="s">
        <v>58</v>
      </c>
      <c r="F18" s="33">
        <f>F17*D18</f>
        <v>380</v>
      </c>
      <c r="G18" s="8"/>
      <c r="H18" s="8" t="s">
        <v>58</v>
      </c>
      <c r="I18" s="33">
        <f>F17+F18</f>
        <v>19380</v>
      </c>
    </row>
    <row r="20" spans="1:11" ht="13.5" thickBot="1">
      <c r="A20" s="79" t="s">
        <v>129</v>
      </c>
      <c r="B20" s="79"/>
      <c r="C20" s="79"/>
      <c r="D20" s="79"/>
      <c r="E20" s="79"/>
      <c r="F20" s="31">
        <f>Beregningsskema!D6</f>
        <v>2017</v>
      </c>
      <c r="H20" s="12" t="s">
        <v>58</v>
      </c>
      <c r="I20" s="30">
        <f>I11+I18</f>
        <v>51392.38272619839</v>
      </c>
    </row>
    <row r="21" spans="1:11" ht="13.5" thickTop="1"/>
    <row r="22" spans="1:11">
      <c r="B22" s="6" t="s">
        <v>355</v>
      </c>
      <c r="C22" s="88">
        <v>2007</v>
      </c>
      <c r="E22" s="6" t="s">
        <v>58</v>
      </c>
      <c r="F22" s="61" t="s">
        <v>356</v>
      </c>
      <c r="G22" s="6" t="s">
        <v>123</v>
      </c>
      <c r="H22" s="6" t="s">
        <v>58</v>
      </c>
      <c r="I22" s="73">
        <f>716300*1.046</f>
        <v>749249.8</v>
      </c>
    </row>
    <row r="23" spans="1:11">
      <c r="B23" s="6" t="s">
        <v>355</v>
      </c>
      <c r="C23" s="88">
        <v>2008</v>
      </c>
      <c r="E23" s="6" t="s">
        <v>58</v>
      </c>
      <c r="F23" s="186" t="s">
        <v>357</v>
      </c>
      <c r="G23" s="6" t="s">
        <v>123</v>
      </c>
      <c r="H23" s="6" t="s">
        <v>58</v>
      </c>
      <c r="I23" s="34">
        <f>I22*1.049</f>
        <v>785963.04020000005</v>
      </c>
    </row>
    <row r="24" spans="1:11">
      <c r="B24" s="6" t="s">
        <v>355</v>
      </c>
      <c r="C24" s="88">
        <v>2009</v>
      </c>
      <c r="E24" s="6" t="s">
        <v>58</v>
      </c>
      <c r="F24" s="182" t="s">
        <v>358</v>
      </c>
      <c r="G24" s="6" t="s">
        <v>123</v>
      </c>
      <c r="H24" s="6" t="s">
        <v>58</v>
      </c>
      <c r="I24" s="34">
        <f>I23*1.047</f>
        <v>822903.30308939994</v>
      </c>
    </row>
    <row r="25" spans="1:11">
      <c r="B25" s="6" t="s">
        <v>355</v>
      </c>
      <c r="C25" s="88">
        <v>2010</v>
      </c>
      <c r="E25" s="6" t="s">
        <v>58</v>
      </c>
      <c r="F25" s="182" t="s">
        <v>359</v>
      </c>
      <c r="G25" s="6" t="s">
        <v>123</v>
      </c>
      <c r="H25" s="6" t="s">
        <v>58</v>
      </c>
      <c r="I25" s="34">
        <f>I24*1.07</f>
        <v>880506.53430565796</v>
      </c>
    </row>
    <row r="26" spans="1:11">
      <c r="B26" s="6" t="s">
        <v>355</v>
      </c>
      <c r="C26" s="88">
        <v>2011</v>
      </c>
      <c r="E26" s="6" t="s">
        <v>58</v>
      </c>
      <c r="F26" s="182" t="s">
        <v>360</v>
      </c>
      <c r="G26" s="6" t="s">
        <v>123</v>
      </c>
      <c r="H26" s="6" t="s">
        <v>58</v>
      </c>
      <c r="I26" s="34">
        <f>I25*1.07</f>
        <v>942141.99170705408</v>
      </c>
    </row>
    <row r="27" spans="1:11">
      <c r="B27" s="6" t="s">
        <v>355</v>
      </c>
      <c r="C27" s="88">
        <v>2012</v>
      </c>
      <c r="E27" s="6" t="s">
        <v>58</v>
      </c>
      <c r="F27" s="182" t="s">
        <v>362</v>
      </c>
      <c r="G27" s="6" t="s">
        <v>123</v>
      </c>
      <c r="H27" s="6" t="s">
        <v>58</v>
      </c>
      <c r="I27" s="34">
        <f>I26*1.043</f>
        <v>982654.09735045733</v>
      </c>
    </row>
    <row r="28" spans="1:11">
      <c r="B28" s="6" t="s">
        <v>355</v>
      </c>
      <c r="C28" s="88">
        <v>2013</v>
      </c>
      <c r="E28" s="6" t="s">
        <v>58</v>
      </c>
      <c r="F28" s="182" t="s">
        <v>363</v>
      </c>
      <c r="G28" s="6" t="s">
        <v>123</v>
      </c>
      <c r="H28" s="6" t="s">
        <v>58</v>
      </c>
      <c r="I28" s="34">
        <f>I27*1.07</f>
        <v>1051439.8841649895</v>
      </c>
    </row>
    <row r="29" spans="1:11">
      <c r="B29" s="6" t="s">
        <v>355</v>
      </c>
      <c r="C29" s="88">
        <v>2014</v>
      </c>
      <c r="E29" s="6" t="s">
        <v>58</v>
      </c>
      <c r="F29" s="182" t="s">
        <v>387</v>
      </c>
      <c r="G29" s="6" t="s">
        <v>123</v>
      </c>
      <c r="H29" s="6" t="s">
        <v>58</v>
      </c>
      <c r="I29" s="34">
        <f>I28*1.07</f>
        <v>1125040.6760565387</v>
      </c>
    </row>
    <row r="30" spans="1:11">
      <c r="B30" s="6" t="s">
        <v>355</v>
      </c>
      <c r="C30" s="88">
        <v>2015</v>
      </c>
      <c r="E30" s="6" t="s">
        <v>58</v>
      </c>
      <c r="F30" s="182" t="s">
        <v>398</v>
      </c>
      <c r="G30" s="6" t="s">
        <v>123</v>
      </c>
      <c r="H30" s="6" t="s">
        <v>58</v>
      </c>
      <c r="I30" s="34">
        <f>I29*1.05</f>
        <v>1181292.7098593656</v>
      </c>
    </row>
    <row r="31" spans="1:11">
      <c r="B31" s="6" t="s">
        <v>355</v>
      </c>
      <c r="C31" s="88">
        <v>2016</v>
      </c>
      <c r="E31" s="6" t="s">
        <v>58</v>
      </c>
      <c r="F31" s="186" t="s">
        <v>399</v>
      </c>
      <c r="G31" s="6" t="s">
        <v>123</v>
      </c>
      <c r="H31" s="6" t="s">
        <v>58</v>
      </c>
      <c r="I31" s="34">
        <f>I30*1.05</f>
        <v>1240357.345352334</v>
      </c>
    </row>
    <row r="32" spans="1:11">
      <c r="B32" s="6" t="s">
        <v>355</v>
      </c>
      <c r="C32" s="88">
        <v>2017</v>
      </c>
      <c r="E32" s="6" t="s">
        <v>58</v>
      </c>
      <c r="F32" s="188" t="s">
        <v>410</v>
      </c>
      <c r="G32" s="6" t="s">
        <v>123</v>
      </c>
      <c r="H32" s="6" t="s">
        <v>58</v>
      </c>
      <c r="I32" s="34">
        <f>I31*1.05</f>
        <v>1302375.2126199508</v>
      </c>
      <c r="K32" s="10"/>
    </row>
    <row r="35" spans="1:10">
      <c r="A35" s="80" t="str">
        <f>Beregningsskema!H29</f>
        <v>Aarhus, den  03. 9. 2016</v>
      </c>
      <c r="B35" s="18"/>
      <c r="C35" s="18"/>
      <c r="D35" s="18"/>
      <c r="E35" s="18"/>
      <c r="F35" s="18"/>
      <c r="G35" s="18"/>
      <c r="H35" s="18"/>
      <c r="I35" s="18"/>
      <c r="J35" s="72"/>
    </row>
    <row r="37" spans="1:10">
      <c r="A37" s="80" t="str">
        <f>Beregningsskema!H31</f>
        <v>Preben Kjær Pedersen</v>
      </c>
      <c r="B37" s="18"/>
      <c r="C37" s="18"/>
      <c r="D37" s="18"/>
      <c r="E37" s="18"/>
      <c r="F37" s="18"/>
      <c r="G37" s="18"/>
      <c r="H37" s="18"/>
      <c r="I37" s="18"/>
      <c r="J37" s="72"/>
    </row>
  </sheetData>
  <phoneticPr fontId="0" type="noConversion"/>
  <pageMargins left="1.35" right="0.36" top="1.96" bottom="1" header="0.5" footer="0.5"/>
  <pageSetup paperSize="9" orientation="portrait" copies="6" r:id="rId1"/>
  <headerFooter alignWithMargins="0"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G19" sqref="G19"/>
    </sheetView>
  </sheetViews>
  <sheetFormatPr defaultColWidth="9.28515625" defaultRowHeight="12.75"/>
  <cols>
    <col min="1" max="1" width="6.85546875" style="6" customWidth="1"/>
    <col min="2" max="2" width="9.28515625" style="6" customWidth="1"/>
    <col min="3" max="3" width="4.140625" style="6" customWidth="1"/>
    <col min="4" max="4" width="9.28515625" style="6" customWidth="1"/>
    <col min="5" max="5" width="2.85546875" style="6" customWidth="1"/>
    <col min="6" max="6" width="9.140625" style="6" customWidth="1"/>
    <col min="7" max="7" width="10" style="6" customWidth="1"/>
    <col min="8" max="8" width="6.28515625" style="6" customWidth="1"/>
    <col min="9" max="9" width="3.140625" style="6" customWidth="1"/>
    <col min="10" max="10" width="3.42578125" style="6" customWidth="1"/>
    <col min="11" max="11" width="13.85546875" style="6" customWidth="1"/>
    <col min="12" max="16384" width="9.28515625" style="6"/>
  </cols>
  <sheetData>
    <row r="1" spans="1:11" ht="15.75">
      <c r="A1" s="74" t="s">
        <v>130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5.75">
      <c r="A2" s="81" t="str">
        <f>CONCATENATE(Beregningsskema!I2,Beregningsskema!N2)</f>
        <v>Vimmersvej 4, 8000 Aarhus C.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15.75">
      <c r="A3" s="23">
        <f>Beregningsskema!D6</f>
        <v>2017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6" spans="1:11">
      <c r="B6" s="24" t="s">
        <v>131</v>
      </c>
    </row>
    <row r="8" spans="1:11">
      <c r="B8" s="6" t="s">
        <v>132</v>
      </c>
      <c r="F8" s="51">
        <v>1987</v>
      </c>
      <c r="G8" s="77" t="s">
        <v>133</v>
      </c>
      <c r="H8" s="168">
        <v>1</v>
      </c>
      <c r="I8" s="6" t="s">
        <v>123</v>
      </c>
      <c r="J8" s="6" t="s">
        <v>58</v>
      </c>
      <c r="K8" s="73">
        <f>F8*H8</f>
        <v>1987</v>
      </c>
    </row>
    <row r="9" spans="1:11">
      <c r="B9" s="6" t="s">
        <v>134</v>
      </c>
      <c r="D9" s="61">
        <v>2</v>
      </c>
      <c r="E9" s="6" t="s">
        <v>135</v>
      </c>
      <c r="F9" s="26" t="s">
        <v>58</v>
      </c>
      <c r="G9" s="28">
        <v>150</v>
      </c>
      <c r="H9" s="6">
        <v>1.95</v>
      </c>
      <c r="I9" s="6" t="s">
        <v>123</v>
      </c>
      <c r="J9" s="8" t="s">
        <v>58</v>
      </c>
      <c r="K9" s="33">
        <f>D9*G9</f>
        <v>300</v>
      </c>
    </row>
    <row r="10" spans="1:11">
      <c r="D10" s="61"/>
      <c r="F10" s="26"/>
      <c r="G10" s="28"/>
      <c r="J10" s="10" t="s">
        <v>58</v>
      </c>
      <c r="K10" s="82">
        <f>SUM(K8:K9)</f>
        <v>2287</v>
      </c>
    </row>
    <row r="11" spans="1:11">
      <c r="B11" s="6" t="s">
        <v>136</v>
      </c>
      <c r="J11" s="8" t="s">
        <v>58</v>
      </c>
      <c r="K11" s="83">
        <f>-K25</f>
        <v>0</v>
      </c>
    </row>
    <row r="12" spans="1:11" ht="13.5" thickBot="1">
      <c r="B12" s="24" t="s">
        <v>137</v>
      </c>
      <c r="J12" s="12" t="s">
        <v>58</v>
      </c>
      <c r="K12" s="35">
        <f>K8+K9</f>
        <v>2287</v>
      </c>
    </row>
    <row r="13" spans="1:11" ht="13.5" thickTop="1"/>
    <row r="15" spans="1:11">
      <c r="B15" s="24" t="s">
        <v>138</v>
      </c>
    </row>
    <row r="17" spans="1:11">
      <c r="B17" s="6" t="s">
        <v>132</v>
      </c>
      <c r="F17" s="51">
        <v>856</v>
      </c>
      <c r="G17" s="77" t="s">
        <v>139</v>
      </c>
      <c r="H17" s="167">
        <v>46.41</v>
      </c>
      <c r="I17" s="6" t="s">
        <v>123</v>
      </c>
      <c r="J17" s="6" t="s">
        <v>58</v>
      </c>
      <c r="K17" s="73">
        <f>F17*H17</f>
        <v>39726.959999999999</v>
      </c>
    </row>
    <row r="18" spans="1:11">
      <c r="B18" s="6" t="s">
        <v>134</v>
      </c>
      <c r="D18" s="61">
        <v>1</v>
      </c>
      <c r="E18" s="6" t="s">
        <v>135</v>
      </c>
      <c r="F18" s="26" t="s">
        <v>58</v>
      </c>
      <c r="G18" s="28">
        <v>1312.5</v>
      </c>
      <c r="I18" s="6" t="s">
        <v>123</v>
      </c>
      <c r="J18" s="8" t="s">
        <v>58</v>
      </c>
      <c r="K18" s="33">
        <f>D18*G18</f>
        <v>1312.5</v>
      </c>
    </row>
    <row r="19" spans="1:11">
      <c r="D19" s="61"/>
      <c r="F19" s="26"/>
      <c r="G19" s="28"/>
      <c r="J19" s="10" t="s">
        <v>58</v>
      </c>
      <c r="K19" s="82">
        <f>SUM(K17:K18)</f>
        <v>41039.46</v>
      </c>
    </row>
    <row r="20" spans="1:11">
      <c r="B20" s="6" t="s">
        <v>136</v>
      </c>
      <c r="J20" s="8" t="s">
        <v>58</v>
      </c>
      <c r="K20" s="83">
        <f>-K26</f>
        <v>0</v>
      </c>
    </row>
    <row r="21" spans="1:11" ht="13.5" thickBot="1">
      <c r="B21" s="24" t="s">
        <v>140</v>
      </c>
      <c r="J21" s="12" t="s">
        <v>58</v>
      </c>
      <c r="K21" s="35">
        <f>K17+K18</f>
        <v>41039.46</v>
      </c>
    </row>
    <row r="22" spans="1:11" ht="13.5" thickTop="1">
      <c r="B22" s="24"/>
      <c r="J22" s="10"/>
      <c r="K22" s="84"/>
    </row>
    <row r="23" spans="1:11">
      <c r="B23" s="24"/>
      <c r="J23" s="10"/>
      <c r="K23" s="84"/>
    </row>
    <row r="24" spans="1:11">
      <c r="B24" s="24"/>
      <c r="D24" s="6" t="s">
        <v>141</v>
      </c>
      <c r="J24" s="10" t="s">
        <v>58</v>
      </c>
      <c r="K24" s="85">
        <v>0</v>
      </c>
    </row>
    <row r="25" spans="1:11">
      <c r="B25" s="24"/>
      <c r="D25" s="6" t="s">
        <v>142</v>
      </c>
      <c r="J25" s="10" t="s">
        <v>58</v>
      </c>
      <c r="K25" s="85">
        <v>0</v>
      </c>
    </row>
    <row r="26" spans="1:11">
      <c r="B26" s="24"/>
      <c r="D26" s="6" t="s">
        <v>143</v>
      </c>
      <c r="J26" s="10" t="s">
        <v>58</v>
      </c>
      <c r="K26" s="84">
        <f>K24-K25</f>
        <v>0</v>
      </c>
    </row>
    <row r="27" spans="1:11">
      <c r="B27" s="24"/>
      <c r="J27" s="10"/>
      <c r="K27" s="84"/>
    </row>
    <row r="28" spans="1:11">
      <c r="B28" s="24"/>
      <c r="C28" s="6" t="s">
        <v>314</v>
      </c>
      <c r="D28" s="6" t="s">
        <v>315</v>
      </c>
      <c r="J28" s="10"/>
      <c r="K28" s="84"/>
    </row>
    <row r="29" spans="1:11">
      <c r="J29" s="10"/>
      <c r="K29" s="85"/>
    </row>
    <row r="31" spans="1:11">
      <c r="A31" s="80" t="str">
        <f>Beregningsskema!H29</f>
        <v>Aarhus, den  03. 9. 2016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</row>
    <row r="33" spans="1:11">
      <c r="A33" s="80" t="str">
        <f>Beregningsskema!H31</f>
        <v>Preben Kjær Pedersen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</row>
  </sheetData>
  <phoneticPr fontId="0" type="noConversion"/>
  <pageMargins left="1.37" right="0.75" top="1.5" bottom="1" header="0.5" footer="0.5"/>
  <pageSetup paperSize="9" orientation="portrait" r:id="rId1"/>
  <headerFooter alignWithMargins="0">
    <oddHeader>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workbookViewId="0">
      <selection activeCell="J62" sqref="J62"/>
    </sheetView>
  </sheetViews>
  <sheetFormatPr defaultColWidth="9.28515625" defaultRowHeight="12.75"/>
  <cols>
    <col min="1" max="1" width="4.140625" style="6" customWidth="1"/>
    <col min="2" max="2" width="4.7109375" style="6" customWidth="1"/>
    <col min="3" max="3" width="3.28515625" style="6" customWidth="1"/>
    <col min="4" max="4" width="6.42578125" style="6" customWidth="1"/>
    <col min="5" max="5" width="9.28515625" style="6" customWidth="1"/>
    <col min="6" max="6" width="11.42578125" style="6" customWidth="1"/>
    <col min="7" max="7" width="21.5703125" style="6" customWidth="1"/>
    <col min="8" max="8" width="42.42578125" style="6" customWidth="1"/>
    <col min="9" max="9" width="4.140625" style="6" customWidth="1"/>
    <col min="10" max="10" width="10.140625" style="6" customWidth="1"/>
    <col min="11" max="11" width="10" style="6" customWidth="1"/>
    <col min="12" max="16384" width="9.28515625" style="6"/>
  </cols>
  <sheetData>
    <row r="1" spans="1:10" ht="15.75">
      <c r="A1" s="74" t="s">
        <v>144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.75">
      <c r="A2" s="81" t="str">
        <f>CONCATENATE(Beregningsskema!I2,Beregningsskema!N2)</f>
        <v>Vimmersvej 4, 8000 Aarhus C.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12.75" customHeight="1">
      <c r="A3" s="4"/>
      <c r="B3" s="18"/>
      <c r="C3" s="18"/>
      <c r="D3" s="18"/>
      <c r="E3" s="18"/>
      <c r="F3" s="18"/>
      <c r="G3" s="18"/>
      <c r="H3" s="18"/>
      <c r="I3" s="18"/>
      <c r="J3" s="18"/>
    </row>
    <row r="4" spans="1:10">
      <c r="A4" s="6" t="s">
        <v>145</v>
      </c>
      <c r="H4" s="61">
        <v>612</v>
      </c>
      <c r="I4" s="6" t="s">
        <v>107</v>
      </c>
    </row>
    <row r="5" spans="1:10">
      <c r="D5" s="6" t="s">
        <v>146</v>
      </c>
      <c r="H5" s="29">
        <f>Beregningsskema!AC23</f>
        <v>512</v>
      </c>
      <c r="I5" s="6" t="s">
        <v>107</v>
      </c>
    </row>
    <row r="6" spans="1:10">
      <c r="D6" s="6" t="s">
        <v>147</v>
      </c>
      <c r="H6" s="29">
        <f>H4-H5</f>
        <v>100</v>
      </c>
      <c r="I6" s="6" t="s">
        <v>107</v>
      </c>
    </row>
    <row r="7" spans="1:10" ht="4.5" customHeight="1"/>
    <row r="8" spans="1:10" s="94" customFormat="1" ht="12">
      <c r="A8" s="94" t="s">
        <v>148</v>
      </c>
      <c r="H8" s="173">
        <f>H5/H4*100</f>
        <v>83.66013071895425</v>
      </c>
      <c r="I8" s="94" t="s">
        <v>149</v>
      </c>
    </row>
    <row r="9" spans="1:10" s="94" customFormat="1" ht="12">
      <c r="E9" s="94" t="s">
        <v>150</v>
      </c>
      <c r="H9" s="174">
        <v>66.86</v>
      </c>
      <c r="I9" s="94" t="s">
        <v>149</v>
      </c>
    </row>
    <row r="10" spans="1:10" s="94" customFormat="1" ht="12">
      <c r="E10" s="94" t="s">
        <v>151</v>
      </c>
      <c r="H10" s="173">
        <f t="shared" ref="H10:H18" si="0">H9+1</f>
        <v>67.86</v>
      </c>
      <c r="I10" s="94" t="s">
        <v>149</v>
      </c>
    </row>
    <row r="11" spans="1:10" s="94" customFormat="1" ht="12">
      <c r="E11" s="94" t="s">
        <v>152</v>
      </c>
      <c r="H11" s="173">
        <f t="shared" si="0"/>
        <v>68.86</v>
      </c>
      <c r="I11" s="94" t="s">
        <v>149</v>
      </c>
    </row>
    <row r="12" spans="1:10" s="94" customFormat="1" ht="12">
      <c r="E12" s="94" t="s">
        <v>153</v>
      </c>
      <c r="H12" s="173">
        <f t="shared" si="0"/>
        <v>69.86</v>
      </c>
      <c r="I12" s="94" t="s">
        <v>149</v>
      </c>
    </row>
    <row r="13" spans="1:10" s="94" customFormat="1" ht="12">
      <c r="E13" s="94" t="s">
        <v>154</v>
      </c>
      <c r="H13" s="173">
        <f t="shared" si="0"/>
        <v>70.86</v>
      </c>
      <c r="I13" s="94" t="s">
        <v>149</v>
      </c>
    </row>
    <row r="14" spans="1:10" s="94" customFormat="1" ht="12">
      <c r="E14" s="94" t="s">
        <v>155</v>
      </c>
      <c r="H14" s="173">
        <f t="shared" si="0"/>
        <v>71.86</v>
      </c>
      <c r="I14" s="94" t="s">
        <v>149</v>
      </c>
    </row>
    <row r="15" spans="1:10" s="94" customFormat="1" ht="12">
      <c r="E15" s="94" t="s">
        <v>156</v>
      </c>
      <c r="H15" s="173">
        <f t="shared" si="0"/>
        <v>72.86</v>
      </c>
      <c r="I15" s="94" t="s">
        <v>149</v>
      </c>
    </row>
    <row r="16" spans="1:10" s="94" customFormat="1" ht="12">
      <c r="E16" s="94" t="s">
        <v>157</v>
      </c>
      <c r="H16" s="173">
        <f t="shared" si="0"/>
        <v>73.86</v>
      </c>
      <c r="I16" s="94" t="s">
        <v>149</v>
      </c>
    </row>
    <row r="17" spans="1:10" s="94" customFormat="1" ht="12">
      <c r="E17" s="94" t="s">
        <v>247</v>
      </c>
      <c r="H17" s="173">
        <f t="shared" si="0"/>
        <v>74.86</v>
      </c>
      <c r="I17" s="94" t="s">
        <v>149</v>
      </c>
    </row>
    <row r="18" spans="1:10" s="94" customFormat="1" ht="12">
      <c r="E18" s="94" t="s">
        <v>249</v>
      </c>
      <c r="H18" s="173">
        <f t="shared" si="0"/>
        <v>75.86</v>
      </c>
      <c r="I18" s="94" t="s">
        <v>149</v>
      </c>
    </row>
    <row r="19" spans="1:10" s="94" customFormat="1" ht="12">
      <c r="E19" s="94" t="s">
        <v>255</v>
      </c>
      <c r="H19" s="173">
        <f t="shared" ref="H19:H25" si="1">H18+1</f>
        <v>76.86</v>
      </c>
      <c r="I19" s="94" t="s">
        <v>149</v>
      </c>
    </row>
    <row r="20" spans="1:10" s="94" customFormat="1" ht="12">
      <c r="E20" s="94" t="s">
        <v>272</v>
      </c>
      <c r="H20" s="173">
        <f t="shared" si="1"/>
        <v>77.86</v>
      </c>
      <c r="I20" s="94" t="s">
        <v>149</v>
      </c>
    </row>
    <row r="21" spans="1:10" s="94" customFormat="1" ht="12">
      <c r="E21" s="94" t="s">
        <v>276</v>
      </c>
      <c r="H21" s="173">
        <f t="shared" si="1"/>
        <v>78.86</v>
      </c>
      <c r="I21" s="94" t="s">
        <v>149</v>
      </c>
    </row>
    <row r="22" spans="1:10" ht="12" customHeight="1">
      <c r="E22" s="94" t="s">
        <v>310</v>
      </c>
      <c r="H22" s="173">
        <f t="shared" si="1"/>
        <v>79.86</v>
      </c>
      <c r="I22" s="94" t="s">
        <v>149</v>
      </c>
    </row>
    <row r="23" spans="1:10" ht="12" customHeight="1">
      <c r="E23" s="94" t="s">
        <v>323</v>
      </c>
      <c r="H23" s="173">
        <f t="shared" si="1"/>
        <v>80.86</v>
      </c>
      <c r="I23" s="94" t="s">
        <v>149</v>
      </c>
    </row>
    <row r="24" spans="1:10" ht="12" customHeight="1">
      <c r="E24" s="94" t="s">
        <v>324</v>
      </c>
      <c r="H24" s="173">
        <f t="shared" si="1"/>
        <v>81.86</v>
      </c>
      <c r="I24" s="94" t="s">
        <v>149</v>
      </c>
    </row>
    <row r="25" spans="1:10" ht="12" customHeight="1">
      <c r="E25" s="94" t="s">
        <v>331</v>
      </c>
      <c r="H25" s="173">
        <f t="shared" si="1"/>
        <v>82.86</v>
      </c>
      <c r="I25" s="94" t="s">
        <v>149</v>
      </c>
    </row>
    <row r="26" spans="1:10" ht="12" customHeight="1">
      <c r="E26" s="94" t="s">
        <v>340</v>
      </c>
      <c r="H26" s="185">
        <f>H8</f>
        <v>83.66013071895425</v>
      </c>
      <c r="I26" s="94" t="s">
        <v>149</v>
      </c>
    </row>
    <row r="27" spans="1:10">
      <c r="A27" s="86" t="s">
        <v>158</v>
      </c>
    </row>
    <row r="28" spans="1:10">
      <c r="B28" s="87">
        <v>0.04</v>
      </c>
      <c r="C28" s="6" t="s">
        <v>122</v>
      </c>
      <c r="D28" s="61">
        <f>H4</f>
        <v>612</v>
      </c>
      <c r="E28" s="6" t="s">
        <v>159</v>
      </c>
      <c r="F28" s="28">
        <v>520</v>
      </c>
      <c r="G28" s="7"/>
      <c r="H28" s="77" t="s">
        <v>123</v>
      </c>
      <c r="I28" s="6" t="s">
        <v>58</v>
      </c>
      <c r="J28" s="73">
        <f>B28*D28*F28</f>
        <v>12729.6</v>
      </c>
    </row>
    <row r="29" spans="1:10">
      <c r="B29" s="87">
        <v>0.08</v>
      </c>
      <c r="C29" s="6" t="s">
        <v>122</v>
      </c>
      <c r="D29" s="61">
        <v>2</v>
      </c>
      <c r="E29" s="6" t="s">
        <v>160</v>
      </c>
      <c r="H29" s="28">
        <v>26000</v>
      </c>
      <c r="I29" s="6" t="s">
        <v>58</v>
      </c>
      <c r="J29" s="73">
        <f>B29*D29*H29</f>
        <v>4160</v>
      </c>
    </row>
    <row r="30" spans="1:10">
      <c r="B30" s="87">
        <v>0.08</v>
      </c>
      <c r="C30" s="6" t="s">
        <v>122</v>
      </c>
      <c r="D30" s="6" t="s">
        <v>161</v>
      </c>
      <c r="H30" s="26" t="s">
        <v>123</v>
      </c>
      <c r="I30" s="8" t="s">
        <v>58</v>
      </c>
      <c r="J30" s="8"/>
    </row>
    <row r="31" spans="1:10">
      <c r="A31" s="6" t="s">
        <v>162</v>
      </c>
      <c r="I31" s="6" t="s">
        <v>58</v>
      </c>
      <c r="J31" s="34">
        <f>SUM(J28:J30)</f>
        <v>16889.599999999999</v>
      </c>
    </row>
    <row r="32" spans="1:10">
      <c r="A32" s="86" t="s">
        <v>163</v>
      </c>
    </row>
    <row r="33" spans="1:10">
      <c r="B33" s="87">
        <v>0.1</v>
      </c>
      <c r="C33" s="6" t="s">
        <v>122</v>
      </c>
      <c r="D33" s="61">
        <v>2</v>
      </c>
      <c r="E33" s="88" t="s">
        <v>164</v>
      </c>
      <c r="H33" s="89">
        <v>11000</v>
      </c>
      <c r="I33" s="6" t="s">
        <v>58</v>
      </c>
      <c r="J33" s="73">
        <f>B33*D33*H33</f>
        <v>2200</v>
      </c>
    </row>
    <row r="34" spans="1:10">
      <c r="A34" s="86" t="s">
        <v>165</v>
      </c>
    </row>
    <row r="35" spans="1:10">
      <c r="B35" s="87">
        <v>0.08</v>
      </c>
      <c r="C35" s="6" t="s">
        <v>122</v>
      </c>
      <c r="D35" s="61">
        <v>9</v>
      </c>
      <c r="E35" s="88" t="s">
        <v>166</v>
      </c>
      <c r="H35" s="90">
        <v>4500</v>
      </c>
      <c r="I35" s="6" t="s">
        <v>58</v>
      </c>
      <c r="J35" s="73">
        <f>B35*D35*H35</f>
        <v>3240</v>
      </c>
    </row>
    <row r="36" spans="1:10">
      <c r="A36" s="86" t="s">
        <v>167</v>
      </c>
    </row>
    <row r="37" spans="1:10">
      <c r="B37" s="87">
        <v>0.08</v>
      </c>
      <c r="C37" s="6" t="s">
        <v>122</v>
      </c>
      <c r="E37" s="26" t="s">
        <v>58</v>
      </c>
      <c r="H37" s="26" t="s">
        <v>123</v>
      </c>
      <c r="I37" s="6" t="s">
        <v>58</v>
      </c>
    </row>
    <row r="38" spans="1:10">
      <c r="A38" s="86" t="s">
        <v>168</v>
      </c>
    </row>
    <row r="39" spans="1:10">
      <c r="B39" s="87">
        <v>0.04</v>
      </c>
      <c r="C39" s="6" t="s">
        <v>122</v>
      </c>
      <c r="E39" s="26" t="s">
        <v>58</v>
      </c>
      <c r="H39" s="26" t="s">
        <v>123</v>
      </c>
      <c r="I39" s="8" t="s">
        <v>58</v>
      </c>
      <c r="J39" s="8"/>
    </row>
    <row r="40" spans="1:10" ht="13.5" thickBot="1">
      <c r="A40" s="24" t="s">
        <v>169</v>
      </c>
      <c r="I40" s="12" t="s">
        <v>58</v>
      </c>
      <c r="J40" s="35">
        <f>SUM(J31:J39)</f>
        <v>22329.599999999999</v>
      </c>
    </row>
    <row r="41" spans="1:10" ht="9" customHeight="1" thickTop="1"/>
    <row r="42" spans="1:10">
      <c r="E42" s="6" t="s">
        <v>170</v>
      </c>
      <c r="I42" s="6" t="s">
        <v>58</v>
      </c>
      <c r="J42" s="29">
        <f>J40/H4</f>
        <v>36.48627450980392</v>
      </c>
    </row>
    <row r="43" spans="1:10" ht="9" customHeight="1"/>
    <row r="44" spans="1:10">
      <c r="A44" s="91" t="s">
        <v>171</v>
      </c>
      <c r="B44" s="6" t="s">
        <v>172</v>
      </c>
      <c r="I44" s="6" t="s">
        <v>58</v>
      </c>
      <c r="J44" s="73">
        <f>J40/3</f>
        <v>7443.2</v>
      </c>
    </row>
    <row r="45" spans="1:10">
      <c r="A45" s="187" t="s">
        <v>412</v>
      </c>
      <c r="I45" s="8" t="s">
        <v>58</v>
      </c>
      <c r="J45" s="33">
        <f>J44*1.007*1.02*1.013*1.024*1.015*1.019*1.035*1.025*1.021*1.023*1.015*1.019*1.022*1.016*1.042*1.02*1.015*1.028*1.016*1.01*1.008*1.008*1.005-J44</f>
        <v>3899.5571952577711</v>
      </c>
    </row>
    <row r="46" spans="1:10" ht="13.5" thickBot="1">
      <c r="B46" s="24" t="s">
        <v>173</v>
      </c>
      <c r="G46" s="31">
        <f>Beregningsskema!D6</f>
        <v>2017</v>
      </c>
      <c r="I46" s="12" t="s">
        <v>58</v>
      </c>
      <c r="J46" s="35">
        <f>SUM(J44:J45)</f>
        <v>11342.757195257771</v>
      </c>
    </row>
    <row r="47" spans="1:10" ht="13.5" thickTop="1"/>
    <row r="48" spans="1:10">
      <c r="A48" s="24" t="s">
        <v>171</v>
      </c>
      <c r="B48" s="6" t="s">
        <v>174</v>
      </c>
      <c r="G48" s="31">
        <f>J42/3</f>
        <v>12.162091503267973</v>
      </c>
      <c r="H48" s="24" t="s">
        <v>175</v>
      </c>
    </row>
    <row r="49" spans="1:10">
      <c r="B49" s="6" t="s">
        <v>176</v>
      </c>
      <c r="F49" s="92">
        <v>44</v>
      </c>
      <c r="G49" s="6" t="s">
        <v>177</v>
      </c>
      <c r="H49" s="93">
        <f>J42/3</f>
        <v>12.162091503267973</v>
      </c>
      <c r="I49" s="6" t="s">
        <v>123</v>
      </c>
      <c r="J49" s="34">
        <f>F49+H49</f>
        <v>56.162091503267973</v>
      </c>
    </row>
    <row r="50" spans="1:10">
      <c r="A50" s="183" t="str">
        <f>A45</f>
        <v>0,7%, 2,0%, 1,3%, 2,4%, 1,5%, 1,9%, 3,5%, 2,5%, 2,1%, 2,3%, 1.5%, 1,9%, 2,2%, 1,6%, 4,2%, 2,0%,1,5%, 2,8%,1,6%, 1,0%, 0,8%, 0.8% og 0,5% eller i alt:</v>
      </c>
      <c r="B50" s="94"/>
      <c r="C50" s="94"/>
      <c r="D50" s="94"/>
      <c r="E50" s="94"/>
      <c r="F50" s="94"/>
      <c r="G50" s="94"/>
      <c r="H50" s="94"/>
      <c r="I50" s="8" t="s">
        <v>58</v>
      </c>
      <c r="J50" s="33">
        <f>J49*1.007*1.02*1.013*1.024*1.015*1.019*1.035*1.025*1.021*1.023*1.015*1.019*1.022*1.016*1.042*1.02*1.015*1.028*1.016*1.01*1.008*1.008*1.005-J49</f>
        <v>29.423808042548117</v>
      </c>
    </row>
    <row r="51" spans="1:10">
      <c r="B51" s="179" t="s">
        <v>178</v>
      </c>
      <c r="H51" s="31">
        <f>Beregningsskema!D6</f>
        <v>2017</v>
      </c>
      <c r="I51" s="6" t="s">
        <v>58</v>
      </c>
      <c r="J51" s="34">
        <f>SUM(J49:J50)</f>
        <v>85.58589954581609</v>
      </c>
    </row>
    <row r="52" spans="1:10" ht="13.5" thickBot="1">
      <c r="B52" s="24" t="s">
        <v>179</v>
      </c>
      <c r="E52" s="27" t="s">
        <v>58</v>
      </c>
      <c r="F52" s="180">
        <f>ROUND(J51,0)</f>
        <v>86</v>
      </c>
    </row>
    <row r="53" spans="1:10" ht="13.5" thickTop="1"/>
    <row r="54" spans="1:10">
      <c r="A54" s="6" t="s">
        <v>180</v>
      </c>
      <c r="B54" s="6" t="s">
        <v>174</v>
      </c>
      <c r="G54" s="31">
        <f>J42/3</f>
        <v>12.162091503267973</v>
      </c>
      <c r="H54" s="24" t="s">
        <v>181</v>
      </c>
    </row>
    <row r="55" spans="1:10">
      <c r="B55" s="6" t="s">
        <v>176</v>
      </c>
      <c r="F55" s="6" t="s">
        <v>182</v>
      </c>
      <c r="H55" s="93">
        <f>G54</f>
        <v>12.162091503267973</v>
      </c>
      <c r="I55" s="6" t="s">
        <v>123</v>
      </c>
      <c r="J55" s="34">
        <f>H55+27.5+12</f>
        <v>51.662091503267973</v>
      </c>
    </row>
    <row r="56" spans="1:10">
      <c r="A56" s="183" t="str">
        <f>A50</f>
        <v>0,7%, 2,0%, 1,3%, 2,4%, 1,5%, 1,9%, 3,5%, 2,5%, 2,1%, 2,3%, 1.5%, 1,9%, 2,2%, 1,6%, 4,2%, 2,0%,1,5%, 2,8%,1,6%, 1,0%, 0,8%, 0.8% og 0,5% eller i alt:</v>
      </c>
      <c r="B56" s="94"/>
      <c r="C56" s="94"/>
      <c r="D56" s="94"/>
      <c r="E56" s="94"/>
      <c r="F56" s="94"/>
      <c r="G56" s="94"/>
      <c r="H56" s="94"/>
      <c r="I56" s="8" t="s">
        <v>58</v>
      </c>
      <c r="J56" s="33">
        <f>J55*1.007*1.02*1.013*1.024*1.015*1.019*1.035*1.025*1.021*1.023*1.015*1.019*1.022*1.016*1.042*1.02*1.015*1.028*1.016*1.01*1.008*1.008*1.005-J55</f>
        <v>27.066218917083276</v>
      </c>
    </row>
    <row r="57" spans="1:10">
      <c r="B57" s="179" t="s">
        <v>183</v>
      </c>
      <c r="H57" s="31">
        <f>H51</f>
        <v>2017</v>
      </c>
      <c r="I57" s="6" t="s">
        <v>58</v>
      </c>
      <c r="J57" s="34">
        <f>SUM(J55:J56)</f>
        <v>78.728310420351249</v>
      </c>
    </row>
    <row r="58" spans="1:10" ht="13.5" thickBot="1">
      <c r="B58" s="24" t="s">
        <v>179</v>
      </c>
      <c r="E58" s="27" t="s">
        <v>58</v>
      </c>
      <c r="F58" s="181">
        <f>ROUND(J57,0)</f>
        <v>79</v>
      </c>
    </row>
    <row r="59" spans="1:10" ht="13.5" thickTop="1"/>
    <row r="60" spans="1:10">
      <c r="A60" s="24" t="s">
        <v>250</v>
      </c>
      <c r="F60" s="6" t="s">
        <v>251</v>
      </c>
      <c r="I60" s="6" t="s">
        <v>58</v>
      </c>
      <c r="J60" s="7">
        <v>29</v>
      </c>
    </row>
    <row r="61" spans="1:10">
      <c r="A61" s="183" t="str">
        <f>A45</f>
        <v>0,7%, 2,0%, 1,3%, 2,4%, 1,5%, 1,9%, 3,5%, 2,5%, 2,1%, 2,3%, 1.5%, 1,9%, 2,2%, 1,6%, 4,2%, 2,0%,1,5%, 2,8%,1,6%, 1,0%, 0,8%, 0.8% og 0,5% eller i alt:</v>
      </c>
      <c r="B61" s="94"/>
      <c r="C61" s="94"/>
      <c r="D61" s="94"/>
      <c r="E61" s="94"/>
      <c r="F61" s="94"/>
      <c r="G61" s="94"/>
      <c r="H61" s="94"/>
      <c r="I61" s="8" t="s">
        <v>58</v>
      </c>
      <c r="J61" s="33">
        <f>J60*1.007*1.02*1.013*1.024*1.015*1.019*1.035*1.025*1.021*1.023*1.015*1.019*1.022*1.016*1.042*1.02*1.015*1.028*1.016*1.01*1.008*1.008*1.005-J60</f>
        <v>15.193352141884603</v>
      </c>
    </row>
    <row r="62" spans="1:10">
      <c r="A62" s="94" t="s">
        <v>252</v>
      </c>
      <c r="H62" s="31">
        <f>H57</f>
        <v>2017</v>
      </c>
      <c r="I62" s="6" t="s">
        <v>58</v>
      </c>
      <c r="J62" s="34">
        <f>SUM(J60:J61)</f>
        <v>44.193352141884603</v>
      </c>
    </row>
    <row r="63" spans="1:10" ht="13.5" thickBot="1">
      <c r="B63" s="6" t="s">
        <v>179</v>
      </c>
      <c r="E63" s="27" t="s">
        <v>58</v>
      </c>
      <c r="F63" s="181">
        <f>ROUND(J62,0)</f>
        <v>44</v>
      </c>
    </row>
    <row r="64" spans="1:10" ht="13.5" thickTop="1"/>
  </sheetData>
  <phoneticPr fontId="0" type="noConversion"/>
  <pageMargins left="0.25" right="0.24" top="0.48" bottom="0.27" header="0.25" footer="0.22"/>
  <pageSetup paperSize="9" scale="85" orientation="portrait" r:id="rId1"/>
  <headerFooter alignWithMargins="0">
    <oddHeader>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13"/>
  <sheetViews>
    <sheetView workbookViewId="0">
      <selection activeCell="I72" sqref="I72"/>
    </sheetView>
  </sheetViews>
  <sheetFormatPr defaultColWidth="9.28515625" defaultRowHeight="12.75"/>
  <cols>
    <col min="1" max="1" width="4" style="6" customWidth="1"/>
    <col min="2" max="2" width="5.42578125" style="6" customWidth="1"/>
    <col min="3" max="3" width="5.28515625" style="6" customWidth="1"/>
    <col min="4" max="4" width="6.140625" style="6" customWidth="1"/>
    <col min="5" max="5" width="9.7109375" style="6" customWidth="1"/>
    <col min="6" max="6" width="6.7109375" style="6" customWidth="1"/>
    <col min="7" max="8" width="9.28515625" style="6" customWidth="1"/>
    <col min="9" max="9" width="11.7109375" style="6" customWidth="1"/>
    <col min="10" max="16384" width="9.28515625" style="6"/>
  </cols>
  <sheetData>
    <row r="3" spans="1:10" ht="15.75">
      <c r="A3" s="4" t="s">
        <v>184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5.75">
      <c r="A4" s="4" t="s">
        <v>185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15.75">
      <c r="A5" s="22" t="str">
        <f>CONCATENATE(Beregningsskema!I2,Beregningsskema!N2)</f>
        <v>Vimmersvej 4, 8000 Aarhus C.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15.75">
      <c r="A6" s="23">
        <f>Beregningsskema!D6</f>
        <v>2017</v>
      </c>
      <c r="B6" s="18"/>
      <c r="C6" s="18"/>
      <c r="D6" s="18"/>
      <c r="E6" s="18"/>
      <c r="F6" s="18"/>
      <c r="G6" s="18"/>
      <c r="H6" s="18"/>
      <c r="I6" s="18"/>
      <c r="J6" s="18"/>
    </row>
    <row r="8" spans="1:10">
      <c r="A8" s="24" t="s">
        <v>186</v>
      </c>
    </row>
    <row r="10" spans="1:10">
      <c r="A10" s="6" t="s">
        <v>187</v>
      </c>
    </row>
    <row r="11" spans="1:10">
      <c r="B11" s="6" t="s">
        <v>188</v>
      </c>
      <c r="G11" s="6" t="s">
        <v>189</v>
      </c>
    </row>
    <row r="12" spans="1:10">
      <c r="B12" s="6" t="s">
        <v>190</v>
      </c>
      <c r="E12" s="25">
        <v>0.125</v>
      </c>
      <c r="H12" s="26" t="s">
        <v>58</v>
      </c>
    </row>
    <row r="13" spans="1:10">
      <c r="B13" s="6" t="s">
        <v>191</v>
      </c>
      <c r="H13" s="26" t="s">
        <v>58</v>
      </c>
    </row>
    <row r="14" spans="1:10">
      <c r="B14" s="6" t="s">
        <v>192</v>
      </c>
      <c r="H14" s="27" t="s">
        <v>58</v>
      </c>
      <c r="I14" s="8"/>
    </row>
    <row r="15" spans="1:10" ht="13.5" thickBot="1">
      <c r="A15" s="6" t="s">
        <v>193</v>
      </c>
      <c r="H15" s="26" t="s">
        <v>58</v>
      </c>
      <c r="I15" s="12"/>
    </row>
    <row r="16" spans="1:10" ht="13.5" thickTop="1"/>
    <row r="17" spans="1:9">
      <c r="A17" s="6" t="s">
        <v>194</v>
      </c>
      <c r="I17" s="28">
        <v>2225</v>
      </c>
    </row>
    <row r="18" spans="1:9">
      <c r="B18" s="6" t="s">
        <v>195</v>
      </c>
    </row>
    <row r="19" spans="1:9">
      <c r="B19" s="6" t="s">
        <v>196</v>
      </c>
      <c r="D19" s="29">
        <f>Beregningsskema!A21</f>
        <v>8</v>
      </c>
      <c r="E19" s="6" t="s">
        <v>197</v>
      </c>
    </row>
    <row r="20" spans="1:9" ht="13.5" thickBot="1">
      <c r="B20" s="6" t="s">
        <v>198</v>
      </c>
      <c r="H20" s="26" t="s">
        <v>58</v>
      </c>
      <c r="I20" s="30">
        <f>D19*I17/Budget!E34</f>
        <v>21276.5625</v>
      </c>
    </row>
    <row r="21" spans="1:9" ht="13.5" thickTop="1"/>
    <row r="22" spans="1:9">
      <c r="A22" s="24" t="s">
        <v>199</v>
      </c>
    </row>
    <row r="23" spans="1:9">
      <c r="B23" s="24" t="s">
        <v>341</v>
      </c>
    </row>
    <row r="24" spans="1:9">
      <c r="B24" s="6" t="s">
        <v>344</v>
      </c>
      <c r="H24" s="26"/>
      <c r="I24" s="28">
        <v>3225</v>
      </c>
    </row>
    <row r="25" spans="1:9">
      <c r="B25" s="6" t="s">
        <v>196</v>
      </c>
      <c r="D25" s="29">
        <f>Beregningsskema!A21</f>
        <v>8</v>
      </c>
      <c r="E25" s="6" t="s">
        <v>197</v>
      </c>
    </row>
    <row r="26" spans="1:9" ht="13.5" thickBot="1">
      <c r="B26" s="6" t="s">
        <v>198</v>
      </c>
      <c r="H26" s="26" t="s">
        <v>58</v>
      </c>
      <c r="I26" s="30">
        <f>D25*I24/Budget!E34</f>
        <v>30839.0625</v>
      </c>
    </row>
    <row r="27" spans="1:9" ht="13.5" thickTop="1">
      <c r="H27" s="26"/>
      <c r="I27" s="82"/>
    </row>
    <row r="28" spans="1:9">
      <c r="B28" s="24" t="s">
        <v>342</v>
      </c>
      <c r="H28" s="26"/>
      <c r="I28" s="82"/>
    </row>
    <row r="29" spans="1:9">
      <c r="B29" s="6" t="s">
        <v>344</v>
      </c>
      <c r="H29" s="26"/>
      <c r="I29" s="82">
        <f>I24</f>
        <v>3225</v>
      </c>
    </row>
    <row r="30" spans="1:9">
      <c r="B30" s="6" t="s">
        <v>343</v>
      </c>
      <c r="G30" s="87">
        <v>0.25</v>
      </c>
      <c r="H30" s="26" t="s">
        <v>58</v>
      </c>
      <c r="I30" s="33">
        <f>I29*G30</f>
        <v>806.25</v>
      </c>
    </row>
    <row r="31" spans="1:9">
      <c r="H31" s="26" t="s">
        <v>58</v>
      </c>
      <c r="I31" s="82">
        <f>SUM(I29:I30)</f>
        <v>4031.25</v>
      </c>
    </row>
    <row r="32" spans="1:9">
      <c r="B32" s="6" t="s">
        <v>196</v>
      </c>
      <c r="D32" s="29">
        <f>D25</f>
        <v>8</v>
      </c>
      <c r="E32" s="6" t="s">
        <v>197</v>
      </c>
    </row>
    <row r="33" spans="1:9" ht="13.5" thickBot="1">
      <c r="B33" s="6" t="s">
        <v>198</v>
      </c>
      <c r="H33" s="26" t="s">
        <v>58</v>
      </c>
      <c r="I33" s="30">
        <f>D32*I31/Budget!E34</f>
        <v>38548.828125</v>
      </c>
    </row>
    <row r="34" spans="1:9" ht="13.5" thickTop="1">
      <c r="H34" s="26"/>
      <c r="I34" s="82"/>
    </row>
    <row r="35" spans="1:9">
      <c r="A35" s="24" t="s">
        <v>200</v>
      </c>
    </row>
    <row r="36" spans="1:9">
      <c r="B36" s="6" t="s">
        <v>201</v>
      </c>
      <c r="I36" s="28">
        <v>3862</v>
      </c>
    </row>
    <row r="37" spans="1:9">
      <c r="B37" s="6" t="s">
        <v>202</v>
      </c>
    </row>
    <row r="38" spans="1:9">
      <c r="B38" s="6" t="s">
        <v>203</v>
      </c>
      <c r="F38" s="31">
        <f>Beregningsskema!D6</f>
        <v>2017</v>
      </c>
      <c r="G38" s="32">
        <v>0.02</v>
      </c>
      <c r="H38" s="26" t="s">
        <v>58</v>
      </c>
      <c r="I38" s="33">
        <f>I36*G38</f>
        <v>77.239999999999995</v>
      </c>
    </row>
    <row r="39" spans="1:9">
      <c r="B39" s="6" t="s">
        <v>204</v>
      </c>
      <c r="H39" s="26" t="s">
        <v>58</v>
      </c>
      <c r="I39" s="34">
        <f>SUM(I36:I38)</f>
        <v>3939.24</v>
      </c>
    </row>
    <row r="40" spans="1:9">
      <c r="B40" s="32">
        <v>0.25</v>
      </c>
      <c r="C40" s="6" t="s">
        <v>205</v>
      </c>
      <c r="H40" s="26" t="s">
        <v>58</v>
      </c>
      <c r="I40" s="33">
        <f>I39*B40</f>
        <v>984.81</v>
      </c>
    </row>
    <row r="41" spans="1:9" ht="13.5" thickBot="1">
      <c r="H41" s="26" t="s">
        <v>58</v>
      </c>
      <c r="I41" s="35">
        <f>SUM(I39:I40)</f>
        <v>4924.0499999999993</v>
      </c>
    </row>
    <row r="42" spans="1:9" ht="13.5" thickTop="1"/>
    <row r="43" spans="1:9">
      <c r="A43" s="24" t="s">
        <v>206</v>
      </c>
    </row>
    <row r="44" spans="1:9">
      <c r="B44" s="6" t="s">
        <v>207</v>
      </c>
      <c r="G44" s="31">
        <f>F38-1</f>
        <v>2016</v>
      </c>
      <c r="H44" s="26" t="s">
        <v>58</v>
      </c>
      <c r="I44" s="28">
        <v>3420</v>
      </c>
    </row>
    <row r="45" spans="1:9">
      <c r="B45" s="6" t="s">
        <v>208</v>
      </c>
      <c r="G45" s="31">
        <f>G44</f>
        <v>2016</v>
      </c>
      <c r="H45" s="26" t="s">
        <v>58</v>
      </c>
      <c r="I45" s="28">
        <v>6498.5</v>
      </c>
    </row>
    <row r="46" spans="1:9">
      <c r="B46" s="6" t="s">
        <v>209</v>
      </c>
      <c r="G46" s="31">
        <f>G45</f>
        <v>2016</v>
      </c>
      <c r="H46" s="26" t="s">
        <v>58</v>
      </c>
      <c r="I46" s="28">
        <v>2945</v>
      </c>
    </row>
    <row r="47" spans="1:9">
      <c r="B47" s="6" t="s">
        <v>210</v>
      </c>
      <c r="G47" s="31">
        <f>G46</f>
        <v>2016</v>
      </c>
      <c r="H47" s="26" t="s">
        <v>58</v>
      </c>
      <c r="I47" s="36">
        <v>1545.75</v>
      </c>
    </row>
    <row r="48" spans="1:9">
      <c r="B48" s="6" t="s">
        <v>211</v>
      </c>
      <c r="G48" s="31">
        <f>G47</f>
        <v>2016</v>
      </c>
      <c r="H48" s="26" t="s">
        <v>58</v>
      </c>
      <c r="I48" s="34">
        <f>SUM(I44:I47)</f>
        <v>14409.25</v>
      </c>
    </row>
    <row r="49" spans="1:9">
      <c r="C49" s="6" t="s">
        <v>253</v>
      </c>
      <c r="F49" s="31">
        <f>F38</f>
        <v>2017</v>
      </c>
      <c r="G49" s="32">
        <v>0.02</v>
      </c>
      <c r="H49" s="26" t="s">
        <v>58</v>
      </c>
      <c r="I49" s="33">
        <f>I48*G49</f>
        <v>288.185</v>
      </c>
    </row>
    <row r="50" spans="1:9" ht="13.5" thickBot="1">
      <c r="B50" s="6" t="s">
        <v>254</v>
      </c>
      <c r="F50" s="31">
        <f>F49</f>
        <v>2017</v>
      </c>
      <c r="H50" s="26" t="s">
        <v>58</v>
      </c>
      <c r="I50" s="35">
        <f>SUM(I48:I49)</f>
        <v>14697.434999999999</v>
      </c>
    </row>
    <row r="51" spans="1:9" ht="13.5" thickTop="1"/>
    <row r="52" spans="1:9">
      <c r="A52" s="24" t="s">
        <v>212</v>
      </c>
    </row>
    <row r="53" spans="1:9" ht="13.5" thickBot="1">
      <c r="B53" s="29">
        <f>Beregningsskema!A21</f>
        <v>8</v>
      </c>
      <c r="C53" s="6" t="s">
        <v>213</v>
      </c>
      <c r="G53" s="28">
        <v>100</v>
      </c>
      <c r="H53" s="26" t="s">
        <v>214</v>
      </c>
      <c r="I53" s="30">
        <f>B53*G53/Budget!E34</f>
        <v>956.25</v>
      </c>
    </row>
    <row r="54" spans="1:9" ht="13.5" thickTop="1"/>
    <row r="64" spans="1:9">
      <c r="A64" s="24" t="s">
        <v>256</v>
      </c>
    </row>
    <row r="65" spans="1:9" ht="12.75" customHeight="1">
      <c r="A65" s="24"/>
    </row>
    <row r="66" spans="1:9">
      <c r="B66" s="6" t="s">
        <v>257</v>
      </c>
      <c r="F66" s="7">
        <v>64</v>
      </c>
      <c r="G66" s="61" t="s">
        <v>413</v>
      </c>
      <c r="I66" s="82">
        <f>F66*1.007*1.02*1.013*1.024*1.015*1.019*1.035*1.025*1.021*1.023*1.015*1.019*1.022*1.016*1.042*1.02*1.015*1.028*1.016*1.01*1.008*1.008*1.005</f>
        <v>97.530156451055674</v>
      </c>
    </row>
    <row r="67" spans="1:9" ht="13.5" thickBot="1">
      <c r="G67" s="6" t="s">
        <v>258</v>
      </c>
      <c r="I67" s="35">
        <f>ROUND(I66,0)</f>
        <v>98</v>
      </c>
    </row>
    <row r="68" spans="1:9" ht="12.75" customHeight="1" thickTop="1">
      <c r="I68" s="84"/>
    </row>
    <row r="69" spans="1:9">
      <c r="B69" s="6" t="s">
        <v>259</v>
      </c>
      <c r="F69" s="176">
        <v>127</v>
      </c>
      <c r="G69" s="29" t="str">
        <f>G66</f>
        <v>pr. kvm, udgør i 2017 kr.</v>
      </c>
      <c r="I69" s="82">
        <f>F69*1.007*1.02*1.013*1.024*1.015*1.019*1.035*1.025*1.021*1.023*1.015*1.019*1.022*1.016*1.042*1.02*1.015*1.028*1.016*1.01*1.008*1.008*1.005</f>
        <v>193.53640420756361</v>
      </c>
    </row>
    <row r="70" spans="1:9" ht="13.5" thickBot="1">
      <c r="G70" s="6" t="s">
        <v>258</v>
      </c>
      <c r="I70" s="35">
        <f>ROUND(I69,0)</f>
        <v>194</v>
      </c>
    </row>
    <row r="71" spans="1:9" ht="12.75" customHeight="1" thickTop="1"/>
    <row r="72" spans="1:9">
      <c r="B72" s="6" t="s">
        <v>260</v>
      </c>
      <c r="G72" s="6" t="s">
        <v>422</v>
      </c>
      <c r="I72" s="82">
        <f>250*1.02*1.015*1.028*1.016*1.01*1.008*1.008*1.005</f>
        <v>278.80563366191427</v>
      </c>
    </row>
    <row r="73" spans="1:9" ht="13.5" thickBot="1">
      <c r="G73" s="6" t="s">
        <v>258</v>
      </c>
      <c r="I73" s="35">
        <f>ROUND(I72,0)</f>
        <v>279</v>
      </c>
    </row>
    <row r="74" spans="1:9" ht="13.5" thickTop="1">
      <c r="I74" s="84"/>
    </row>
    <row r="75" spans="1:9">
      <c r="I75" s="84"/>
    </row>
    <row r="77" spans="1:9">
      <c r="B77" s="24" t="s">
        <v>261</v>
      </c>
    </row>
    <row r="78" spans="1:9" ht="12.75" customHeight="1"/>
    <row r="79" spans="1:9">
      <c r="C79" s="6" t="s">
        <v>262</v>
      </c>
      <c r="G79" s="28">
        <v>1500</v>
      </c>
      <c r="H79" s="6" t="s">
        <v>58</v>
      </c>
    </row>
    <row r="80" spans="1:9">
      <c r="C80" s="6" t="s">
        <v>263</v>
      </c>
      <c r="G80" s="73">
        <f>1600*1.035</f>
        <v>1655.9999999999998</v>
      </c>
      <c r="H80" s="6" t="s">
        <v>58</v>
      </c>
    </row>
    <row r="81" spans="3:8">
      <c r="C81" s="6" t="s">
        <v>264</v>
      </c>
      <c r="G81" s="34">
        <f>ROUND(G80*1.025,0)</f>
        <v>1697</v>
      </c>
      <c r="H81" s="6" t="s">
        <v>58</v>
      </c>
    </row>
    <row r="82" spans="3:8">
      <c r="C82" s="6" t="s">
        <v>265</v>
      </c>
      <c r="G82" s="34">
        <f>ROUND(G81*1.021,0)</f>
        <v>1733</v>
      </c>
      <c r="H82" s="6" t="s">
        <v>58</v>
      </c>
    </row>
    <row r="83" spans="3:8">
      <c r="C83" s="6" t="s">
        <v>266</v>
      </c>
      <c r="G83" s="34">
        <f>ROUND(G82*1.023,0)</f>
        <v>1773</v>
      </c>
      <c r="H83" s="6" t="s">
        <v>58</v>
      </c>
    </row>
    <row r="84" spans="3:8">
      <c r="C84" s="6" t="s">
        <v>273</v>
      </c>
      <c r="G84" s="34">
        <v>1799</v>
      </c>
      <c r="H84" s="6" t="s">
        <v>58</v>
      </c>
    </row>
    <row r="85" spans="3:8">
      <c r="C85" s="6" t="s">
        <v>316</v>
      </c>
      <c r="G85" s="34">
        <v>1834</v>
      </c>
      <c r="H85" s="6" t="s">
        <v>58</v>
      </c>
    </row>
    <row r="86" spans="3:8">
      <c r="C86" s="6" t="s">
        <v>317</v>
      </c>
      <c r="G86" s="34">
        <f>ROUND(G85*1.022,0)</f>
        <v>1874</v>
      </c>
      <c r="H86" s="6" t="s">
        <v>58</v>
      </c>
    </row>
    <row r="87" spans="3:8">
      <c r="C87" s="6" t="s">
        <v>325</v>
      </c>
      <c r="G87" s="34">
        <f>ROUND(G86*1.016,0)</f>
        <v>1904</v>
      </c>
      <c r="H87" s="6" t="s">
        <v>58</v>
      </c>
    </row>
    <row r="88" spans="3:8">
      <c r="C88" s="6" t="s">
        <v>332</v>
      </c>
      <c r="G88" s="34">
        <f>ROUND(G87*1.042,0)</f>
        <v>1984</v>
      </c>
      <c r="H88" s="6" t="s">
        <v>58</v>
      </c>
    </row>
    <row r="89" spans="3:8">
      <c r="C89" s="6" t="s">
        <v>345</v>
      </c>
      <c r="G89" s="34">
        <f>ROUND(G88*1.02,0)</f>
        <v>2024</v>
      </c>
      <c r="H89" s="6" t="s">
        <v>58</v>
      </c>
    </row>
    <row r="90" spans="3:8">
      <c r="C90" s="6" t="s">
        <v>350</v>
      </c>
      <c r="G90" s="34">
        <f>ROUND(G89*1.015,0)</f>
        <v>2054</v>
      </c>
      <c r="H90" s="6" t="s">
        <v>58</v>
      </c>
    </row>
    <row r="91" spans="3:8">
      <c r="C91" s="6" t="s">
        <v>372</v>
      </c>
      <c r="G91" s="34">
        <f>ROUND(G90*1.028,0)</f>
        <v>2112</v>
      </c>
      <c r="H91" s="6" t="s">
        <v>58</v>
      </c>
    </row>
    <row r="92" spans="3:8">
      <c r="C92" s="6" t="s">
        <v>377</v>
      </c>
      <c r="G92" s="34">
        <f>ROUND(G91*1.016,0)</f>
        <v>2146</v>
      </c>
      <c r="H92" s="6" t="s">
        <v>58</v>
      </c>
    </row>
    <row r="93" spans="3:8">
      <c r="C93" s="6" t="s">
        <v>392</v>
      </c>
      <c r="G93" s="34">
        <f>ROUND(G92*1.01,0)</f>
        <v>2167</v>
      </c>
      <c r="H93" s="6" t="s">
        <v>58</v>
      </c>
    </row>
    <row r="94" spans="3:8">
      <c r="C94" s="6" t="s">
        <v>400</v>
      </c>
      <c r="G94" s="34">
        <f>ROUND(G93*1.008,0)</f>
        <v>2184</v>
      </c>
      <c r="H94" s="6" t="s">
        <v>58</v>
      </c>
    </row>
    <row r="95" spans="3:8">
      <c r="C95" s="6" t="s">
        <v>415</v>
      </c>
      <c r="G95" s="34">
        <f>ROUND(G94*1.008,0)</f>
        <v>2201</v>
      </c>
      <c r="H95" s="6" t="s">
        <v>58</v>
      </c>
    </row>
    <row r="96" spans="3:8">
      <c r="C96" s="6" t="s">
        <v>414</v>
      </c>
      <c r="G96" s="34">
        <f>ROUND(G95*1.005,0)</f>
        <v>2212</v>
      </c>
      <c r="H96" s="6" t="s">
        <v>58</v>
      </c>
    </row>
    <row r="97" spans="3:10">
      <c r="G97" s="34"/>
    </row>
    <row r="98" spans="3:10">
      <c r="G98" s="34"/>
    </row>
    <row r="99" spans="3:10">
      <c r="C99" s="6" t="s">
        <v>267</v>
      </c>
      <c r="I99" s="28">
        <v>170000</v>
      </c>
      <c r="J99" s="6" t="s">
        <v>58</v>
      </c>
    </row>
    <row r="100" spans="3:10">
      <c r="C100" s="6" t="s">
        <v>268</v>
      </c>
      <c r="I100" s="73">
        <f>183000*1.035</f>
        <v>189404.99999999997</v>
      </c>
      <c r="J100" s="6" t="s">
        <v>58</v>
      </c>
    </row>
    <row r="101" spans="3:10">
      <c r="C101" s="6" t="s">
        <v>269</v>
      </c>
      <c r="I101" s="34">
        <f>ROUND(I100*1.025,0)</f>
        <v>194140</v>
      </c>
      <c r="J101" s="6" t="s">
        <v>58</v>
      </c>
    </row>
    <row r="102" spans="3:10">
      <c r="C102" s="6" t="s">
        <v>270</v>
      </c>
      <c r="I102" s="34">
        <f>ROUND(I101*1.021,0)</f>
        <v>198217</v>
      </c>
      <c r="J102" s="6" t="s">
        <v>58</v>
      </c>
    </row>
    <row r="103" spans="3:10">
      <c r="C103" s="6" t="s">
        <v>271</v>
      </c>
      <c r="I103" s="34">
        <f>ROUND(I102*1.023,0)</f>
        <v>202776</v>
      </c>
      <c r="J103" s="6" t="s">
        <v>58</v>
      </c>
    </row>
    <row r="104" spans="3:10">
      <c r="C104" s="6" t="s">
        <v>274</v>
      </c>
      <c r="I104" s="34">
        <f>ROUND(I103*1.015,0)</f>
        <v>205818</v>
      </c>
      <c r="J104" s="6" t="s">
        <v>58</v>
      </c>
    </row>
    <row r="105" spans="3:10">
      <c r="C105" s="6" t="s">
        <v>318</v>
      </c>
      <c r="I105" s="34">
        <v>209728</v>
      </c>
      <c r="J105" s="6" t="s">
        <v>58</v>
      </c>
    </row>
    <row r="106" spans="3:10">
      <c r="C106" s="6" t="s">
        <v>319</v>
      </c>
      <c r="I106" s="34">
        <v>214342</v>
      </c>
      <c r="J106" s="6" t="s">
        <v>58</v>
      </c>
    </row>
    <row r="107" spans="3:10">
      <c r="C107" s="6" t="s">
        <v>326</v>
      </c>
      <c r="I107" s="34">
        <f>ROUND(I106*1.016,0)+1</f>
        <v>217772</v>
      </c>
      <c r="J107" s="6" t="s">
        <v>58</v>
      </c>
    </row>
    <row r="108" spans="3:10">
      <c r="C108" s="6" t="s">
        <v>333</v>
      </c>
      <c r="I108" s="34">
        <f>ROUND(I107*1.042,0)</f>
        <v>226918</v>
      </c>
      <c r="J108" s="6" t="s">
        <v>58</v>
      </c>
    </row>
    <row r="109" spans="3:10">
      <c r="C109" s="6" t="s">
        <v>346</v>
      </c>
      <c r="I109" s="34">
        <f>ROUND(I108*1.02,0)</f>
        <v>231456</v>
      </c>
      <c r="J109" s="6" t="s">
        <v>58</v>
      </c>
    </row>
    <row r="110" spans="3:10">
      <c r="C110" s="6" t="s">
        <v>351</v>
      </c>
      <c r="I110" s="34">
        <f>ROUND(I109*1.015,0)</f>
        <v>234928</v>
      </c>
      <c r="J110" s="6" t="s">
        <v>58</v>
      </c>
    </row>
    <row r="111" spans="3:10">
      <c r="C111" s="6" t="s">
        <v>371</v>
      </c>
      <c r="I111" s="34">
        <f>ROUND(I110*1.028,0)</f>
        <v>241506</v>
      </c>
      <c r="J111" s="6" t="s">
        <v>58</v>
      </c>
    </row>
    <row r="112" spans="3:10">
      <c r="C112" s="6" t="s">
        <v>378</v>
      </c>
      <c r="I112" s="34">
        <f>ROUND(I111*1.016,0)</f>
        <v>245370</v>
      </c>
      <c r="J112" s="6" t="s">
        <v>58</v>
      </c>
    </row>
    <row r="113" spans="3:10">
      <c r="C113" s="6" t="s">
        <v>391</v>
      </c>
      <c r="I113" s="34">
        <f>ROUND(I112*1.01,0)</f>
        <v>247824</v>
      </c>
      <c r="J113" s="6" t="s">
        <v>58</v>
      </c>
    </row>
    <row r="114" spans="3:10">
      <c r="C114" s="6" t="s">
        <v>401</v>
      </c>
      <c r="I114" s="34">
        <f>ROUND(I113*1.008,0)</f>
        <v>249807</v>
      </c>
      <c r="J114" s="6" t="s">
        <v>58</v>
      </c>
    </row>
    <row r="115" spans="3:10">
      <c r="C115" s="6" t="s">
        <v>417</v>
      </c>
      <c r="I115" s="34">
        <f>ROUND(I114*1.008,0)</f>
        <v>251805</v>
      </c>
      <c r="J115" s="6" t="s">
        <v>58</v>
      </c>
    </row>
    <row r="116" spans="3:10">
      <c r="C116" s="6" t="s">
        <v>416</v>
      </c>
      <c r="I116" s="34">
        <f>ROUND(I115*1.005,0)</f>
        <v>253064</v>
      </c>
      <c r="J116" s="6" t="s">
        <v>58</v>
      </c>
    </row>
    <row r="117" spans="3:10">
      <c r="I117" s="34"/>
    </row>
    <row r="118" spans="3:10">
      <c r="C118" s="6" t="s">
        <v>275</v>
      </c>
      <c r="H118" s="32">
        <v>0.08</v>
      </c>
      <c r="I118" s="6" t="s">
        <v>347</v>
      </c>
    </row>
    <row r="119" spans="3:10">
      <c r="H119" s="32"/>
    </row>
    <row r="120" spans="3:10">
      <c r="H120" s="32"/>
    </row>
    <row r="121" spans="3:10">
      <c r="H121" s="32"/>
    </row>
    <row r="122" spans="3:10">
      <c r="H122" s="32"/>
    </row>
    <row r="123" spans="3:10">
      <c r="H123" s="32"/>
    </row>
    <row r="124" spans="3:10">
      <c r="H124" s="32"/>
    </row>
    <row r="125" spans="3:10">
      <c r="H125" s="32"/>
    </row>
    <row r="126" spans="3:10">
      <c r="H126" s="32"/>
    </row>
    <row r="127" spans="3:10">
      <c r="H127" s="32"/>
    </row>
    <row r="128" spans="3:10">
      <c r="H128" s="32"/>
    </row>
    <row r="129" spans="2:10">
      <c r="H129" s="32"/>
    </row>
    <row r="130" spans="2:10">
      <c r="B130" s="24" t="s">
        <v>277</v>
      </c>
    </row>
    <row r="131" spans="2:10">
      <c r="B131" s="24"/>
    </row>
    <row r="132" spans="2:10">
      <c r="C132" s="6" t="s">
        <v>278</v>
      </c>
      <c r="I132" s="182">
        <v>100</v>
      </c>
      <c r="J132" s="6" t="s">
        <v>58</v>
      </c>
    </row>
    <row r="133" spans="2:10">
      <c r="C133" s="6" t="s">
        <v>279</v>
      </c>
      <c r="I133" s="178">
        <f>ROUND(I132*1.007,0)</f>
        <v>101</v>
      </c>
      <c r="J133" s="6" t="s">
        <v>58</v>
      </c>
    </row>
    <row r="134" spans="2:10">
      <c r="C134" s="6" t="s">
        <v>280</v>
      </c>
      <c r="I134" s="178">
        <f>ROUND(I133*1.02,0)</f>
        <v>103</v>
      </c>
      <c r="J134" s="6" t="s">
        <v>58</v>
      </c>
    </row>
    <row r="135" spans="2:10">
      <c r="C135" s="6" t="s">
        <v>281</v>
      </c>
      <c r="I135" s="178">
        <f>ROUND(I134*1.013,0)</f>
        <v>104</v>
      </c>
      <c r="J135" s="6" t="s">
        <v>58</v>
      </c>
    </row>
    <row r="136" spans="2:10">
      <c r="C136" s="6" t="s">
        <v>282</v>
      </c>
      <c r="I136" s="178">
        <f>ROUND(I135*1.024,0)</f>
        <v>106</v>
      </c>
      <c r="J136" s="6" t="s">
        <v>58</v>
      </c>
    </row>
    <row r="137" spans="2:10">
      <c r="C137" s="6" t="s">
        <v>283</v>
      </c>
      <c r="I137" s="178">
        <f>ROUND(I136*1.015,0)</f>
        <v>108</v>
      </c>
      <c r="J137" s="6" t="s">
        <v>58</v>
      </c>
    </row>
    <row r="138" spans="2:10">
      <c r="C138" s="6" t="s">
        <v>284</v>
      </c>
      <c r="I138" s="178">
        <f>ROUND(I137*1.019,0)</f>
        <v>110</v>
      </c>
      <c r="J138" s="6" t="s">
        <v>58</v>
      </c>
    </row>
    <row r="139" spans="2:10">
      <c r="C139" s="6" t="s">
        <v>285</v>
      </c>
      <c r="I139" s="178">
        <f>ROUND(I138*1.035,0)</f>
        <v>114</v>
      </c>
      <c r="J139" s="6" t="s">
        <v>58</v>
      </c>
    </row>
    <row r="140" spans="2:10">
      <c r="C140" s="6" t="s">
        <v>286</v>
      </c>
      <c r="I140" s="178">
        <f>ROUND(I139*1.025,0)</f>
        <v>117</v>
      </c>
      <c r="J140" s="6" t="s">
        <v>58</v>
      </c>
    </row>
    <row r="141" spans="2:10">
      <c r="C141" s="6" t="s">
        <v>287</v>
      </c>
      <c r="I141" s="178">
        <f>ROUND(I140*1.021,0)</f>
        <v>119</v>
      </c>
      <c r="J141" s="6" t="s">
        <v>58</v>
      </c>
    </row>
    <row r="142" spans="2:10">
      <c r="C142" s="6" t="s">
        <v>288</v>
      </c>
      <c r="I142" s="178">
        <f>ROUND(I141*1.023,0)</f>
        <v>122</v>
      </c>
      <c r="J142" s="6" t="s">
        <v>58</v>
      </c>
    </row>
    <row r="143" spans="2:10">
      <c r="C143" s="6" t="s">
        <v>289</v>
      </c>
      <c r="I143" s="178">
        <f>ROUND(I142*1.015,0)</f>
        <v>124</v>
      </c>
      <c r="J143" s="6" t="s">
        <v>58</v>
      </c>
    </row>
    <row r="144" spans="2:10">
      <c r="C144" s="6" t="s">
        <v>311</v>
      </c>
      <c r="I144" s="178">
        <f>ROUND(I143*1.019,0)</f>
        <v>126</v>
      </c>
      <c r="J144" s="6" t="s">
        <v>58</v>
      </c>
    </row>
    <row r="145" spans="2:10">
      <c r="C145" s="6" t="s">
        <v>320</v>
      </c>
      <c r="I145" s="178">
        <f>ROUND(I144*1.022,0)</f>
        <v>129</v>
      </c>
      <c r="J145" s="6" t="s">
        <v>58</v>
      </c>
    </row>
    <row r="146" spans="2:10">
      <c r="C146" s="6" t="s">
        <v>327</v>
      </c>
      <c r="I146" s="178">
        <f>ROUND(I145*1.016,0)</f>
        <v>131</v>
      </c>
      <c r="J146" s="6" t="s">
        <v>58</v>
      </c>
    </row>
    <row r="147" spans="2:10">
      <c r="C147" s="6" t="s">
        <v>335</v>
      </c>
      <c r="I147" s="178">
        <f>ROUND(I146*1.042,0)</f>
        <v>137</v>
      </c>
      <c r="J147" s="6" t="s">
        <v>58</v>
      </c>
    </row>
    <row r="148" spans="2:10">
      <c r="C148" s="6" t="s">
        <v>334</v>
      </c>
      <c r="I148" s="178">
        <v>250</v>
      </c>
      <c r="J148" s="6" t="s">
        <v>58</v>
      </c>
    </row>
    <row r="149" spans="2:10">
      <c r="C149" s="6" t="s">
        <v>339</v>
      </c>
      <c r="I149" s="178">
        <f>I148*1.02</f>
        <v>255</v>
      </c>
      <c r="J149" s="6" t="s">
        <v>58</v>
      </c>
    </row>
    <row r="150" spans="2:10">
      <c r="C150" s="6" t="s">
        <v>352</v>
      </c>
      <c r="I150" s="178">
        <f>ROUND(I149*1.015,0)</f>
        <v>259</v>
      </c>
      <c r="J150" s="6" t="s">
        <v>58</v>
      </c>
    </row>
    <row r="151" spans="2:10">
      <c r="C151" s="6" t="s">
        <v>373</v>
      </c>
      <c r="I151" s="178">
        <f>ROUND(I150*1.028,0)</f>
        <v>266</v>
      </c>
      <c r="J151" s="6" t="s">
        <v>58</v>
      </c>
    </row>
    <row r="152" spans="2:10">
      <c r="C152" s="6" t="s">
        <v>376</v>
      </c>
      <c r="I152" s="178">
        <f>ROUND(I151*1.016,0)</f>
        <v>270</v>
      </c>
      <c r="J152" s="6" t="s">
        <v>58</v>
      </c>
    </row>
    <row r="153" spans="2:10">
      <c r="C153" s="6" t="s">
        <v>388</v>
      </c>
      <c r="I153" s="178">
        <f>ROUND(I152*1.01,0)</f>
        <v>273</v>
      </c>
      <c r="J153" s="6" t="s">
        <v>58</v>
      </c>
    </row>
    <row r="154" spans="2:10">
      <c r="C154" s="6" t="s">
        <v>402</v>
      </c>
      <c r="I154" s="178">
        <f>ROUND(I153*1.008,0)</f>
        <v>275</v>
      </c>
      <c r="J154" s="6" t="s">
        <v>58</v>
      </c>
    </row>
    <row r="155" spans="2:10">
      <c r="C155" s="6" t="s">
        <v>419</v>
      </c>
      <c r="I155" s="178">
        <f>ROUND(I154*1.008,0)</f>
        <v>277</v>
      </c>
      <c r="J155" s="6" t="s">
        <v>58</v>
      </c>
    </row>
    <row r="156" spans="2:10">
      <c r="C156" s="6" t="s">
        <v>418</v>
      </c>
      <c r="I156" s="178">
        <f>ROUND(I155*1.005,0)</f>
        <v>278</v>
      </c>
      <c r="J156" s="6" t="s">
        <v>58</v>
      </c>
    </row>
    <row r="157" spans="2:10">
      <c r="I157" s="178"/>
    </row>
    <row r="158" spans="2:10">
      <c r="B158" s="24" t="s">
        <v>290</v>
      </c>
    </row>
    <row r="159" spans="2:10">
      <c r="C159" s="6" t="s">
        <v>296</v>
      </c>
      <c r="I159" s="182">
        <v>0</v>
      </c>
      <c r="J159" s="6" t="s">
        <v>58</v>
      </c>
    </row>
    <row r="160" spans="2:10">
      <c r="C160" s="6" t="s">
        <v>291</v>
      </c>
      <c r="I160" s="178">
        <f>ROUND(103*1.035,0)</f>
        <v>107</v>
      </c>
      <c r="J160" s="6" t="s">
        <v>58</v>
      </c>
    </row>
    <row r="161" spans="3:10">
      <c r="C161" s="6" t="s">
        <v>292</v>
      </c>
      <c r="I161" s="178">
        <f>ROUND(I160*1.025,0)</f>
        <v>110</v>
      </c>
      <c r="J161" s="6" t="s">
        <v>58</v>
      </c>
    </row>
    <row r="162" spans="3:10">
      <c r="C162" s="6" t="s">
        <v>293</v>
      </c>
      <c r="I162" s="178">
        <f>ROUND(I161*1.021,0)</f>
        <v>112</v>
      </c>
      <c r="J162" s="6" t="s">
        <v>58</v>
      </c>
    </row>
    <row r="163" spans="3:10">
      <c r="C163" s="6" t="s">
        <v>294</v>
      </c>
      <c r="I163" s="178">
        <f>ROUND(I162*1.023,0)</f>
        <v>115</v>
      </c>
      <c r="J163" s="6" t="s">
        <v>58</v>
      </c>
    </row>
    <row r="164" spans="3:10">
      <c r="C164" s="6" t="s">
        <v>295</v>
      </c>
      <c r="I164" s="178">
        <f>ROUND(I163*1.015,0)</f>
        <v>117</v>
      </c>
      <c r="J164" s="6" t="s">
        <v>58</v>
      </c>
    </row>
    <row r="165" spans="3:10">
      <c r="C165" s="6" t="s">
        <v>312</v>
      </c>
      <c r="I165" s="178">
        <f>ROUND(I164*1.019,0)</f>
        <v>119</v>
      </c>
      <c r="J165" s="6" t="s">
        <v>58</v>
      </c>
    </row>
    <row r="166" spans="3:10">
      <c r="C166" s="6" t="s">
        <v>321</v>
      </c>
      <c r="I166" s="178">
        <v>121</v>
      </c>
      <c r="J166" s="6" t="s">
        <v>58</v>
      </c>
    </row>
    <row r="167" spans="3:10">
      <c r="C167" s="6" t="s">
        <v>328</v>
      </c>
      <c r="I167" s="178">
        <f>ROUND(I166*1.016,0)</f>
        <v>123</v>
      </c>
      <c r="J167" s="6" t="s">
        <v>58</v>
      </c>
    </row>
    <row r="168" spans="3:10">
      <c r="C168" s="6" t="s">
        <v>336</v>
      </c>
      <c r="I168" s="178">
        <f>ROUND(I167*1.042,0)</f>
        <v>128</v>
      </c>
      <c r="J168" s="6" t="s">
        <v>58</v>
      </c>
    </row>
    <row r="169" spans="3:10">
      <c r="C169" s="6" t="s">
        <v>348</v>
      </c>
      <c r="I169" s="178">
        <f>ROUND(I168*1.02,0)</f>
        <v>131</v>
      </c>
      <c r="J169" s="6" t="s">
        <v>58</v>
      </c>
    </row>
    <row r="170" spans="3:10">
      <c r="C170" s="6" t="s">
        <v>353</v>
      </c>
      <c r="I170" s="178">
        <f>ROUND(I169*1.015,0)</f>
        <v>133</v>
      </c>
      <c r="J170" s="6" t="s">
        <v>58</v>
      </c>
    </row>
    <row r="171" spans="3:10">
      <c r="C171" s="6" t="s">
        <v>374</v>
      </c>
      <c r="I171" s="178">
        <f>ROUND(I170*1.028,0)</f>
        <v>137</v>
      </c>
      <c r="J171" s="6" t="s">
        <v>58</v>
      </c>
    </row>
    <row r="172" spans="3:10">
      <c r="C172" s="6" t="s">
        <v>379</v>
      </c>
      <c r="I172" s="178">
        <f>ROUND(I171*1.016,0)</f>
        <v>139</v>
      </c>
      <c r="J172" s="6" t="s">
        <v>58</v>
      </c>
    </row>
    <row r="173" spans="3:10">
      <c r="C173" s="6" t="s">
        <v>389</v>
      </c>
      <c r="I173" s="178">
        <f>ROUND(I172*1.01,0)</f>
        <v>140</v>
      </c>
      <c r="J173" s="6" t="s">
        <v>58</v>
      </c>
    </row>
    <row r="174" spans="3:10">
      <c r="C174" s="6" t="s">
        <v>404</v>
      </c>
      <c r="I174" s="178">
        <f>ROUND(I173*1.008,0)</f>
        <v>141</v>
      </c>
      <c r="J174" s="6" t="s">
        <v>58</v>
      </c>
    </row>
    <row r="175" spans="3:10">
      <c r="C175" s="6" t="s">
        <v>405</v>
      </c>
      <c r="I175" s="178">
        <v>302</v>
      </c>
      <c r="J175" s="6" t="s">
        <v>58</v>
      </c>
    </row>
    <row r="176" spans="3:10">
      <c r="C176" s="6" t="s">
        <v>406</v>
      </c>
      <c r="I176" s="178">
        <v>305</v>
      </c>
      <c r="J176" s="6" t="s">
        <v>58</v>
      </c>
    </row>
    <row r="177" spans="2:10">
      <c r="C177" s="6" t="s">
        <v>420</v>
      </c>
      <c r="I177" s="178">
        <v>307</v>
      </c>
      <c r="J177" s="6" t="s">
        <v>58</v>
      </c>
    </row>
    <row r="178" spans="2:10">
      <c r="I178" s="178"/>
    </row>
    <row r="179" spans="2:10">
      <c r="I179" s="178"/>
    </row>
    <row r="180" spans="2:10">
      <c r="I180" s="178"/>
    </row>
    <row r="181" spans="2:10">
      <c r="I181" s="178"/>
    </row>
    <row r="182" spans="2:10">
      <c r="I182" s="178"/>
    </row>
    <row r="183" spans="2:10">
      <c r="I183" s="178"/>
    </row>
    <row r="184" spans="2:10">
      <c r="I184" s="178"/>
    </row>
    <row r="185" spans="2:10">
      <c r="I185" s="178"/>
    </row>
    <row r="186" spans="2:10">
      <c r="I186" s="178"/>
    </row>
    <row r="187" spans="2:10">
      <c r="I187" s="178"/>
    </row>
    <row r="188" spans="2:10">
      <c r="I188" s="178"/>
    </row>
    <row r="189" spans="2:10">
      <c r="I189" s="178"/>
    </row>
    <row r="191" spans="2:10">
      <c r="B191" s="24" t="s">
        <v>297</v>
      </c>
    </row>
    <row r="192" spans="2:10">
      <c r="C192" s="6" t="s">
        <v>307</v>
      </c>
      <c r="I192" s="177">
        <v>110</v>
      </c>
      <c r="J192" s="6" t="s">
        <v>58</v>
      </c>
    </row>
    <row r="193" spans="3:12">
      <c r="C193" s="6" t="s">
        <v>298</v>
      </c>
      <c r="I193" s="177">
        <v>110</v>
      </c>
      <c r="J193" s="6" t="s">
        <v>58</v>
      </c>
    </row>
    <row r="194" spans="3:12">
      <c r="C194" s="6" t="s">
        <v>299</v>
      </c>
      <c r="I194" s="177">
        <v>113</v>
      </c>
      <c r="J194" s="6" t="s">
        <v>58</v>
      </c>
    </row>
    <row r="195" spans="3:12">
      <c r="C195" s="6" t="s">
        <v>300</v>
      </c>
      <c r="I195" s="178">
        <f>ROUND(I194*1.015,0)</f>
        <v>115</v>
      </c>
      <c r="J195" s="6" t="s">
        <v>58</v>
      </c>
    </row>
    <row r="196" spans="3:12">
      <c r="C196" s="6" t="s">
        <v>301</v>
      </c>
      <c r="I196" s="178">
        <f>ROUND(I195*1.019,0)</f>
        <v>117</v>
      </c>
      <c r="J196" s="6" t="s">
        <v>58</v>
      </c>
    </row>
    <row r="197" spans="3:12">
      <c r="C197" s="6" t="s">
        <v>302</v>
      </c>
      <c r="I197" s="178">
        <f>ROUND(I196*1.035,0)</f>
        <v>121</v>
      </c>
      <c r="J197" s="6" t="s">
        <v>58</v>
      </c>
    </row>
    <row r="198" spans="3:12">
      <c r="C198" s="6" t="s">
        <v>303</v>
      </c>
      <c r="I198" s="178">
        <f>ROUND(I197*1.025,0)</f>
        <v>124</v>
      </c>
      <c r="J198" s="6" t="s">
        <v>58</v>
      </c>
    </row>
    <row r="199" spans="3:12">
      <c r="C199" s="6" t="s">
        <v>304</v>
      </c>
      <c r="I199" s="178">
        <f>ROUND(I198*1.021,0)</f>
        <v>127</v>
      </c>
      <c r="J199" s="6" t="s">
        <v>58</v>
      </c>
    </row>
    <row r="200" spans="3:12">
      <c r="C200" s="6" t="s">
        <v>305</v>
      </c>
      <c r="I200" s="178">
        <v>129</v>
      </c>
      <c r="J200" s="6" t="s">
        <v>58</v>
      </c>
    </row>
    <row r="201" spans="3:12">
      <c r="C201" s="6" t="s">
        <v>306</v>
      </c>
      <c r="I201" s="178">
        <f>ROUND(I200*1.015,0)</f>
        <v>131</v>
      </c>
      <c r="J201" s="6" t="s">
        <v>58</v>
      </c>
    </row>
    <row r="202" spans="3:12">
      <c r="C202" s="6" t="s">
        <v>313</v>
      </c>
      <c r="I202" s="178">
        <f>I201*1.019+0.51</f>
        <v>133.99899999999997</v>
      </c>
      <c r="J202" s="6" t="s">
        <v>58</v>
      </c>
      <c r="L202" s="177"/>
    </row>
    <row r="203" spans="3:12">
      <c r="C203" s="6" t="s">
        <v>322</v>
      </c>
      <c r="I203" s="178">
        <f>I202*1.022+0.05</f>
        <v>136.99697799999998</v>
      </c>
      <c r="J203" s="6" t="s">
        <v>58</v>
      </c>
      <c r="L203" s="177"/>
    </row>
    <row r="204" spans="3:12">
      <c r="C204" s="6" t="s">
        <v>329</v>
      </c>
      <c r="I204" s="178">
        <f>ROUND(I203*1.016,0)</f>
        <v>139</v>
      </c>
      <c r="J204" s="6" t="s">
        <v>58</v>
      </c>
    </row>
    <row r="205" spans="3:12">
      <c r="C205" s="6" t="s">
        <v>337</v>
      </c>
      <c r="I205" s="178">
        <f>ROUND(I204*1.042,0)</f>
        <v>145</v>
      </c>
      <c r="J205" s="6" t="s">
        <v>58</v>
      </c>
    </row>
    <row r="206" spans="3:12">
      <c r="C206" s="6" t="s">
        <v>349</v>
      </c>
      <c r="I206" s="178">
        <f>ROUND(I205*1.02,0)</f>
        <v>148</v>
      </c>
      <c r="J206" s="6" t="s">
        <v>58</v>
      </c>
    </row>
    <row r="207" spans="3:12">
      <c r="C207" s="6" t="s">
        <v>354</v>
      </c>
      <c r="I207" s="178">
        <f>ROUND(I206*1.015,0)</f>
        <v>150</v>
      </c>
      <c r="J207" s="6" t="s">
        <v>58</v>
      </c>
    </row>
    <row r="208" spans="3:12">
      <c r="C208" s="6" t="s">
        <v>375</v>
      </c>
      <c r="I208" s="178">
        <f>ROUND(I207*1.028,0)</f>
        <v>154</v>
      </c>
      <c r="J208" s="6" t="s">
        <v>58</v>
      </c>
    </row>
    <row r="209" spans="3:10">
      <c r="C209" s="6" t="s">
        <v>380</v>
      </c>
      <c r="I209" s="178">
        <f>ROUND(I208*1.016,0)</f>
        <v>156</v>
      </c>
      <c r="J209" s="6" t="s">
        <v>58</v>
      </c>
    </row>
    <row r="210" spans="3:10">
      <c r="C210" s="6" t="s">
        <v>390</v>
      </c>
      <c r="I210" s="178">
        <f>ROUND(I209*1.01,0)</f>
        <v>158</v>
      </c>
      <c r="J210" s="6" t="s">
        <v>58</v>
      </c>
    </row>
    <row r="211" spans="3:10">
      <c r="C211" s="6" t="s">
        <v>403</v>
      </c>
      <c r="I211" s="178">
        <f>ROUND(I210*1.008,0)</f>
        <v>159</v>
      </c>
      <c r="J211" s="6" t="s">
        <v>58</v>
      </c>
    </row>
    <row r="212" spans="3:10">
      <c r="C212" s="6" t="s">
        <v>421</v>
      </c>
      <c r="I212" s="178">
        <f>ROUND(I211*1.008,0)</f>
        <v>160</v>
      </c>
      <c r="J212" s="6" t="s">
        <v>58</v>
      </c>
    </row>
    <row r="213" spans="3:10">
      <c r="C213" s="6" t="s">
        <v>423</v>
      </c>
      <c r="I213" s="178">
        <f>ROUND(I212*1.005,0)</f>
        <v>161</v>
      </c>
      <c r="J213" s="6" t="s">
        <v>58</v>
      </c>
    </row>
  </sheetData>
  <phoneticPr fontId="0" type="noConversion"/>
  <pageMargins left="1.4" right="0.75" top="0.46" bottom="0.28000000000000003" header="0.18" footer="0.17"/>
  <pageSetup paperSize="9" orientation="portrait" r:id="rId1"/>
  <headerFooter alignWithMargins="0">
    <oddHeader>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70"/>
  <sheetViews>
    <sheetView topLeftCell="A22" workbookViewId="0">
      <selection activeCell="P7" sqref="P7"/>
    </sheetView>
  </sheetViews>
  <sheetFormatPr defaultRowHeight="12.75"/>
  <cols>
    <col min="2" max="2" width="2.7109375" customWidth="1"/>
    <col min="3" max="3" width="1.85546875" customWidth="1"/>
    <col min="4" max="4" width="2.85546875" customWidth="1"/>
    <col min="5" max="5" width="2.42578125" customWidth="1"/>
    <col min="6" max="6" width="4.85546875" customWidth="1"/>
    <col min="7" max="7" width="5" customWidth="1"/>
    <col min="8" max="8" width="2.140625" customWidth="1"/>
    <col min="9" max="9" width="2.85546875" customWidth="1"/>
    <col min="10" max="10" width="8.42578125" customWidth="1"/>
    <col min="11" max="11" width="5" customWidth="1"/>
    <col min="12" max="12" width="3.140625" customWidth="1"/>
    <col min="13" max="13" width="13.7109375" customWidth="1"/>
    <col min="14" max="14" width="2.85546875" customWidth="1"/>
    <col min="15" max="15" width="3.42578125" customWidth="1"/>
    <col min="16" max="16" width="13.7109375" customWidth="1"/>
  </cols>
  <sheetData>
    <row r="2" spans="1:16" ht="15.75">
      <c r="A2" s="2" t="s">
        <v>215</v>
      </c>
      <c r="B2" s="2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>
      <c r="A3" s="21" t="str">
        <f>CONCATENATE([1]Beregningsskema!I2,[1]Beregningsskema!N2)</f>
        <v>Vimmersvej 4, 8000 Århus C.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5.75">
      <c r="A4" s="4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.75">
      <c r="A5" s="4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>
      <c r="A6" s="5" t="s">
        <v>364</v>
      </c>
      <c r="B6" s="5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 t="s">
        <v>58</v>
      </c>
      <c r="P6" s="175">
        <v>24973.94</v>
      </c>
    </row>
    <row r="7" spans="1:16" ht="6" customHeight="1">
      <c r="A7" s="5"/>
      <c r="B7" s="5"/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7"/>
    </row>
    <row r="8" spans="1:16">
      <c r="A8" s="5" t="s">
        <v>365</v>
      </c>
      <c r="B8" s="5"/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7"/>
    </row>
    <row r="9" spans="1:16" ht="4.5" customHeight="1">
      <c r="A9" s="5"/>
      <c r="B9" s="5"/>
      <c r="C9" s="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7"/>
    </row>
    <row r="10" spans="1:16">
      <c r="A10" s="13" t="s">
        <v>216</v>
      </c>
      <c r="B10" s="13">
        <v>6</v>
      </c>
      <c r="C10" s="13" t="s">
        <v>217</v>
      </c>
      <c r="D10" s="13">
        <v>12</v>
      </c>
      <c r="E10" s="13" t="s">
        <v>218</v>
      </c>
      <c r="F10" s="171">
        <v>612</v>
      </c>
      <c r="G10" s="13" t="s">
        <v>107</v>
      </c>
      <c r="H10" s="13" t="s">
        <v>219</v>
      </c>
      <c r="I10" s="13" t="s">
        <v>58</v>
      </c>
      <c r="J10" s="28">
        <v>78</v>
      </c>
      <c r="K10" s="13"/>
      <c r="L10" s="13" t="s">
        <v>58</v>
      </c>
      <c r="M10" s="73">
        <f>B10/D10*F10*J10</f>
        <v>23868</v>
      </c>
      <c r="N10" s="13"/>
      <c r="O10" s="13"/>
      <c r="P10" s="14"/>
    </row>
    <row r="11" spans="1:16">
      <c r="A11" s="13" t="s">
        <v>220</v>
      </c>
      <c r="B11" s="13">
        <v>6</v>
      </c>
      <c r="C11" s="13" t="s">
        <v>217</v>
      </c>
      <c r="D11" s="13">
        <v>12</v>
      </c>
      <c r="E11" s="13" t="s">
        <v>122</v>
      </c>
      <c r="F11" s="171">
        <v>612</v>
      </c>
      <c r="G11" s="13" t="s">
        <v>107</v>
      </c>
      <c r="H11" s="13" t="s">
        <v>219</v>
      </c>
      <c r="I11" s="13" t="s">
        <v>58</v>
      </c>
      <c r="J11" s="28">
        <v>72</v>
      </c>
      <c r="K11" s="13"/>
      <c r="L11" s="15" t="s">
        <v>58</v>
      </c>
      <c r="M11" s="33">
        <f>B11/D11*F11*J11</f>
        <v>22032</v>
      </c>
      <c r="N11" s="13"/>
      <c r="O11" s="13" t="s">
        <v>58</v>
      </c>
      <c r="P11" s="73">
        <f>M10+M11</f>
        <v>45900</v>
      </c>
    </row>
    <row r="12" spans="1:16">
      <c r="A12" s="5"/>
      <c r="B12" s="13"/>
      <c r="C12" s="13"/>
      <c r="D12" s="13"/>
      <c r="E12" s="13"/>
      <c r="F12" s="13"/>
      <c r="G12" s="13"/>
      <c r="H12" s="13"/>
      <c r="I12" s="13"/>
      <c r="J12" s="14"/>
      <c r="K12" s="13"/>
      <c r="L12" s="16"/>
      <c r="M12" s="17"/>
      <c r="N12" s="13"/>
      <c r="O12" s="13"/>
      <c r="P12" s="14"/>
    </row>
    <row r="13" spans="1:16">
      <c r="A13" s="5" t="s">
        <v>366</v>
      </c>
      <c r="B13" s="13"/>
      <c r="C13" s="13"/>
      <c r="D13" s="13"/>
      <c r="E13" s="13"/>
      <c r="F13" s="13"/>
      <c r="G13" s="13"/>
      <c r="H13" s="13"/>
      <c r="I13" s="13"/>
      <c r="J13" s="14"/>
      <c r="K13" s="13"/>
      <c r="L13" s="16"/>
      <c r="M13" s="17"/>
      <c r="N13" s="13"/>
      <c r="O13" s="13"/>
      <c r="P13" s="14"/>
    </row>
    <row r="14" spans="1:16" ht="4.5" customHeight="1">
      <c r="A14" s="5"/>
      <c r="B14" s="13"/>
      <c r="C14" s="13"/>
      <c r="D14" s="13"/>
      <c r="E14" s="13"/>
      <c r="F14" s="13"/>
      <c r="G14" s="13"/>
      <c r="H14" s="13"/>
      <c r="I14" s="13"/>
      <c r="J14" s="14"/>
      <c r="K14" s="13"/>
      <c r="L14" s="16"/>
      <c r="M14" s="17"/>
      <c r="N14" s="13"/>
      <c r="O14" s="13"/>
      <c r="P14" s="14"/>
    </row>
    <row r="15" spans="1:16">
      <c r="A15" s="61" t="s">
        <v>221</v>
      </c>
      <c r="B15" s="13"/>
      <c r="C15" s="13"/>
      <c r="D15" s="13"/>
      <c r="E15" s="13"/>
      <c r="F15" s="13"/>
      <c r="G15" s="13"/>
      <c r="H15" s="13"/>
      <c r="I15" s="13"/>
      <c r="J15" s="14"/>
      <c r="K15" s="13"/>
      <c r="L15" s="16" t="s">
        <v>58</v>
      </c>
      <c r="M15" s="170">
        <v>-55780.65</v>
      </c>
      <c r="N15" s="13"/>
      <c r="O15" s="13"/>
      <c r="P15" s="14"/>
    </row>
    <row r="16" spans="1:16">
      <c r="A16" s="61" t="s">
        <v>330</v>
      </c>
      <c r="B16" s="13"/>
      <c r="C16" s="13"/>
      <c r="D16" s="13"/>
      <c r="E16" s="13"/>
      <c r="F16" s="13"/>
      <c r="G16" s="13"/>
      <c r="H16" s="13"/>
      <c r="I16" s="13"/>
      <c r="J16" s="14"/>
      <c r="K16" s="13"/>
      <c r="L16" s="16" t="s">
        <v>58</v>
      </c>
      <c r="M16" s="170">
        <v>-15875.55</v>
      </c>
      <c r="N16" s="13"/>
      <c r="O16" s="13"/>
      <c r="P16" s="14"/>
    </row>
    <row r="17" spans="1:16">
      <c r="A17" s="61" t="s">
        <v>222</v>
      </c>
      <c r="B17" s="13"/>
      <c r="C17" s="13"/>
      <c r="D17" s="13"/>
      <c r="E17" s="13"/>
      <c r="F17" s="13"/>
      <c r="G17" s="13"/>
      <c r="H17" s="13"/>
      <c r="I17" s="29"/>
      <c r="J17" s="14"/>
      <c r="K17" s="13"/>
      <c r="L17" s="16" t="s">
        <v>58</v>
      </c>
      <c r="M17" s="170">
        <v>-61884</v>
      </c>
      <c r="N17" s="13"/>
      <c r="O17" s="13"/>
      <c r="P17" s="14"/>
    </row>
    <row r="18" spans="1:16">
      <c r="A18" s="61" t="s">
        <v>225</v>
      </c>
      <c r="B18" s="13"/>
      <c r="C18" s="13"/>
      <c r="D18" s="13"/>
      <c r="E18" s="13"/>
      <c r="F18" s="13"/>
      <c r="G18" s="13"/>
      <c r="H18" s="13"/>
      <c r="I18" s="29"/>
      <c r="J18" s="14"/>
      <c r="K18" s="13"/>
      <c r="L18" s="16" t="s">
        <v>58</v>
      </c>
      <c r="M18" s="170">
        <v>-915</v>
      </c>
      <c r="N18" s="13"/>
      <c r="O18" s="13"/>
      <c r="P18" s="14"/>
    </row>
    <row r="19" spans="1:16">
      <c r="A19" s="61" t="s">
        <v>75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5" t="s">
        <v>58</v>
      </c>
      <c r="M19" s="36">
        <v>-15</v>
      </c>
      <c r="N19" s="15"/>
      <c r="O19" s="15"/>
      <c r="P19" s="83">
        <f>SUM(M15:M19)</f>
        <v>-134470.20000000001</v>
      </c>
    </row>
    <row r="20" spans="1:16" ht="3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N20" s="6"/>
      <c r="O20" s="6"/>
      <c r="P20" s="6"/>
    </row>
    <row r="21" spans="1:16">
      <c r="A21" s="5" t="s">
        <v>367</v>
      </c>
      <c r="B21" s="5"/>
      <c r="C21" s="5"/>
      <c r="D21" s="6"/>
      <c r="E21" s="6"/>
      <c r="F21" s="6"/>
      <c r="G21" s="6"/>
      <c r="H21" s="6"/>
      <c r="I21" s="6"/>
      <c r="J21" s="6"/>
      <c r="K21" s="6"/>
      <c r="L21" s="6"/>
      <c r="M21" s="7"/>
      <c r="N21" s="6"/>
      <c r="O21" s="10" t="s">
        <v>58</v>
      </c>
      <c r="P21" s="34">
        <f>SUM(P6:P19)</f>
        <v>-63596.260000000009</v>
      </c>
    </row>
    <row r="22" spans="1:16" ht="6" customHeight="1">
      <c r="A22" s="5"/>
      <c r="B22" s="5"/>
      <c r="C22" s="5"/>
      <c r="D22" s="6"/>
      <c r="E22" s="6"/>
      <c r="F22" s="6"/>
      <c r="G22" s="6"/>
      <c r="H22" s="6"/>
      <c r="I22" s="6"/>
      <c r="J22" s="6"/>
      <c r="K22" s="6"/>
      <c r="L22" s="6"/>
      <c r="M22" s="7"/>
      <c r="N22" s="6"/>
      <c r="O22" s="10"/>
      <c r="P22" s="11"/>
    </row>
    <row r="23" spans="1:16">
      <c r="A23" s="5" t="s">
        <v>368</v>
      </c>
      <c r="B23" s="5"/>
      <c r="C23" s="5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7"/>
    </row>
    <row r="24" spans="1:16" ht="4.5" customHeight="1">
      <c r="A24" s="5"/>
      <c r="B24" s="5"/>
      <c r="C24" s="5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7"/>
    </row>
    <row r="25" spans="1:16">
      <c r="A25" s="6" t="s">
        <v>216</v>
      </c>
      <c r="B25" s="6">
        <v>6</v>
      </c>
      <c r="C25" s="6" t="s">
        <v>217</v>
      </c>
      <c r="D25" s="6">
        <v>12</v>
      </c>
      <c r="E25" s="6" t="s">
        <v>218</v>
      </c>
      <c r="F25" s="61">
        <v>612</v>
      </c>
      <c r="G25" s="6" t="s">
        <v>107</v>
      </c>
      <c r="H25" s="6" t="s">
        <v>219</v>
      </c>
      <c r="I25" s="6" t="s">
        <v>58</v>
      </c>
      <c r="J25" s="28">
        <v>82</v>
      </c>
      <c r="K25" s="6"/>
      <c r="L25" s="6" t="s">
        <v>58</v>
      </c>
      <c r="M25" s="73">
        <f>B25/D25*F25*J25</f>
        <v>25092</v>
      </c>
      <c r="N25" s="6"/>
      <c r="O25" s="6"/>
      <c r="P25" s="7"/>
    </row>
    <row r="26" spans="1:16">
      <c r="A26" s="6" t="s">
        <v>224</v>
      </c>
      <c r="B26" s="6">
        <v>6</v>
      </c>
      <c r="C26" s="6" t="s">
        <v>217</v>
      </c>
      <c r="D26" s="6">
        <v>12</v>
      </c>
      <c r="E26" s="6" t="s">
        <v>218</v>
      </c>
      <c r="F26" s="61">
        <v>612</v>
      </c>
      <c r="G26" s="6" t="s">
        <v>107</v>
      </c>
      <c r="H26" s="6" t="s">
        <v>219</v>
      </c>
      <c r="I26" s="6" t="s">
        <v>58</v>
      </c>
      <c r="J26" s="28">
        <v>75</v>
      </c>
      <c r="K26" s="6"/>
      <c r="L26" s="8" t="s">
        <v>58</v>
      </c>
      <c r="M26" s="33">
        <f>B26/D26*F26*J26</f>
        <v>22950</v>
      </c>
      <c r="N26" s="6"/>
      <c r="O26" s="6" t="s">
        <v>58</v>
      </c>
      <c r="P26" s="73">
        <f>M25+M26</f>
        <v>48042</v>
      </c>
    </row>
    <row r="27" spans="1:16">
      <c r="A27" s="6"/>
      <c r="B27" s="6"/>
      <c r="C27" s="6"/>
      <c r="D27" s="169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7"/>
    </row>
    <row r="28" spans="1:16">
      <c r="A28" s="5" t="s">
        <v>369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7"/>
    </row>
    <row r="29" spans="1:16" ht="4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7"/>
    </row>
    <row r="30" spans="1:16">
      <c r="A30" s="61" t="s">
        <v>222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 t="s">
        <v>58</v>
      </c>
      <c r="M30" s="28">
        <v>0</v>
      </c>
      <c r="N30" s="6"/>
      <c r="O30" s="6"/>
      <c r="P30" s="7"/>
    </row>
    <row r="31" spans="1:16">
      <c r="A31" s="61" t="s">
        <v>330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 t="s">
        <v>58</v>
      </c>
      <c r="M31" s="28">
        <v>-23875.31</v>
      </c>
      <c r="N31" s="6"/>
      <c r="O31" s="6"/>
      <c r="P31" s="7"/>
    </row>
    <row r="32" spans="1:16">
      <c r="A32" s="61" t="s">
        <v>223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 t="s">
        <v>58</v>
      </c>
      <c r="M32" s="28">
        <v>-46875</v>
      </c>
      <c r="N32" s="6"/>
      <c r="O32" s="6"/>
      <c r="P32" s="7"/>
    </row>
    <row r="33" spans="1:16">
      <c r="A33" s="61" t="s">
        <v>221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 t="s">
        <v>58</v>
      </c>
      <c r="M33" s="28">
        <v>-1500</v>
      </c>
      <c r="N33" s="6"/>
      <c r="O33" s="6"/>
      <c r="P33" s="7"/>
    </row>
    <row r="34" spans="1:16">
      <c r="A34" s="61" t="s">
        <v>75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8" t="s">
        <v>58</v>
      </c>
      <c r="M34" s="36">
        <v>-431.5</v>
      </c>
      <c r="N34" s="8"/>
      <c r="O34" s="8" t="s">
        <v>58</v>
      </c>
      <c r="P34" s="33">
        <f>SUM(M30:M34)</f>
        <v>-72681.81</v>
      </c>
    </row>
    <row r="35" spans="1:16" ht="4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169"/>
      <c r="N35" s="6"/>
      <c r="O35" s="6"/>
    </row>
    <row r="36" spans="1:16">
      <c r="A36" s="5" t="s">
        <v>370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7"/>
      <c r="N36" s="6"/>
      <c r="O36" s="10" t="s">
        <v>58</v>
      </c>
      <c r="P36" s="84">
        <f>SUM(P21:P34)</f>
        <v>-88236.07</v>
      </c>
    </row>
    <row r="37" spans="1:16" ht="6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7"/>
      <c r="N37" s="6"/>
      <c r="O37" s="6"/>
      <c r="P37" s="6"/>
    </row>
    <row r="38" spans="1:16" ht="12.75" customHeight="1">
      <c r="A38" s="5" t="s">
        <v>381</v>
      </c>
      <c r="B38" s="5"/>
      <c r="C38" s="5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7"/>
    </row>
    <row r="39" spans="1:16" ht="12.75" customHeight="1">
      <c r="A39" s="5"/>
      <c r="B39" s="5"/>
      <c r="C39" s="5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7"/>
    </row>
    <row r="40" spans="1:16" ht="12.75" customHeight="1">
      <c r="A40" s="13" t="s">
        <v>216</v>
      </c>
      <c r="B40" s="13">
        <v>6</v>
      </c>
      <c r="C40" s="13" t="s">
        <v>217</v>
      </c>
      <c r="D40" s="13">
        <v>12</v>
      </c>
      <c r="E40" s="13" t="s">
        <v>218</v>
      </c>
      <c r="F40" s="171">
        <v>612</v>
      </c>
      <c r="G40" s="13" t="s">
        <v>107</v>
      </c>
      <c r="H40" s="13" t="s">
        <v>219</v>
      </c>
      <c r="I40" s="13" t="s">
        <v>58</v>
      </c>
      <c r="J40" s="28">
        <v>82</v>
      </c>
      <c r="K40" s="13"/>
      <c r="L40" s="13" t="s">
        <v>58</v>
      </c>
      <c r="M40" s="73">
        <f>B40/D40*F40*J40</f>
        <v>25092</v>
      </c>
      <c r="N40" s="13"/>
      <c r="O40" s="13"/>
      <c r="P40" s="14"/>
    </row>
    <row r="41" spans="1:16" ht="12.75" customHeight="1">
      <c r="A41" s="13" t="s">
        <v>220</v>
      </c>
      <c r="B41" s="13">
        <v>6</v>
      </c>
      <c r="C41" s="13" t="s">
        <v>217</v>
      </c>
      <c r="D41" s="13">
        <v>12</v>
      </c>
      <c r="E41" s="13" t="s">
        <v>122</v>
      </c>
      <c r="F41" s="171">
        <v>612</v>
      </c>
      <c r="G41" s="13" t="s">
        <v>107</v>
      </c>
      <c r="H41" s="13" t="s">
        <v>219</v>
      </c>
      <c r="I41" s="13" t="s">
        <v>58</v>
      </c>
      <c r="J41" s="28">
        <v>75</v>
      </c>
      <c r="K41" s="13"/>
      <c r="L41" s="15" t="s">
        <v>58</v>
      </c>
      <c r="M41" s="33">
        <f>B41/D41*F41*J41</f>
        <v>22950</v>
      </c>
      <c r="N41" s="13"/>
      <c r="O41" s="13" t="s">
        <v>58</v>
      </c>
      <c r="P41" s="73">
        <f>M40+M41</f>
        <v>48042</v>
      </c>
    </row>
    <row r="42" spans="1:16" ht="12.75" customHeight="1">
      <c r="A42" s="5"/>
      <c r="B42" s="13"/>
      <c r="C42" s="13"/>
      <c r="D42" s="13"/>
      <c r="E42" s="13"/>
      <c r="F42" s="13"/>
      <c r="G42" s="13"/>
      <c r="H42" s="13"/>
      <c r="I42" s="13"/>
      <c r="J42" s="14"/>
      <c r="K42" s="13"/>
      <c r="L42" s="16"/>
      <c r="M42" s="17"/>
      <c r="N42" s="13"/>
      <c r="O42" s="13"/>
      <c r="P42" s="14"/>
    </row>
    <row r="43" spans="1:16" ht="12.75" customHeight="1">
      <c r="A43" s="5" t="s">
        <v>382</v>
      </c>
      <c r="B43" s="13"/>
      <c r="C43" s="13"/>
      <c r="D43" s="13"/>
      <c r="E43" s="13"/>
      <c r="F43" s="13"/>
      <c r="G43" s="13"/>
      <c r="H43" s="13"/>
      <c r="I43" s="13"/>
      <c r="J43" s="14"/>
      <c r="K43" s="13"/>
      <c r="L43" s="16"/>
      <c r="M43" s="17"/>
      <c r="N43" s="13"/>
      <c r="O43" s="13"/>
      <c r="P43" s="14"/>
    </row>
    <row r="44" spans="1:16" ht="6" customHeight="1">
      <c r="A44" s="5"/>
      <c r="B44" s="13"/>
      <c r="C44" s="13"/>
      <c r="D44" s="13"/>
      <c r="E44" s="13"/>
      <c r="F44" s="13"/>
      <c r="G44" s="13"/>
      <c r="H44" s="13"/>
      <c r="I44" s="13"/>
      <c r="J44" s="14"/>
      <c r="K44" s="13"/>
      <c r="L44" s="16"/>
      <c r="M44" s="17"/>
      <c r="N44" s="13"/>
      <c r="O44" s="13"/>
      <c r="P44" s="14"/>
    </row>
    <row r="45" spans="1:16" ht="12.75" customHeight="1">
      <c r="A45" s="61" t="s">
        <v>223</v>
      </c>
      <c r="B45" s="13"/>
      <c r="C45" s="13"/>
      <c r="D45" s="13"/>
      <c r="E45" s="13"/>
      <c r="F45" s="13"/>
      <c r="G45" s="13"/>
      <c r="H45" s="13"/>
      <c r="I45" s="13"/>
      <c r="J45" s="14"/>
      <c r="K45" s="13"/>
      <c r="L45" s="16" t="s">
        <v>58</v>
      </c>
      <c r="M45" s="170">
        <v>-43678.5</v>
      </c>
      <c r="N45" s="13"/>
      <c r="O45" s="13"/>
      <c r="P45" s="14"/>
    </row>
    <row r="46" spans="1:16" ht="12.75" customHeight="1">
      <c r="A46" s="61" t="s">
        <v>221</v>
      </c>
      <c r="B46" s="13"/>
      <c r="C46" s="13"/>
      <c r="D46" s="13"/>
      <c r="E46" s="13"/>
      <c r="F46" s="13"/>
      <c r="G46" s="13"/>
      <c r="H46" s="13"/>
      <c r="I46" s="13"/>
      <c r="J46" s="14"/>
      <c r="K46" s="13"/>
      <c r="L46" s="16" t="s">
        <v>58</v>
      </c>
      <c r="M46" s="170">
        <v>-28770</v>
      </c>
      <c r="N46" s="13"/>
      <c r="O46" s="13"/>
      <c r="P46" s="14"/>
    </row>
    <row r="47" spans="1:16" ht="12.75" customHeight="1">
      <c r="A47" s="61" t="s">
        <v>222</v>
      </c>
      <c r="B47" s="13"/>
      <c r="C47" s="13"/>
      <c r="D47" s="13"/>
      <c r="E47" s="13"/>
      <c r="F47" s="13"/>
      <c r="G47" s="13"/>
      <c r="H47" s="13"/>
      <c r="I47" s="29"/>
      <c r="J47" s="14"/>
      <c r="K47" s="13"/>
      <c r="L47" s="16" t="s">
        <v>58</v>
      </c>
      <c r="M47" s="170">
        <v>-65785.75</v>
      </c>
      <c r="N47" s="13"/>
      <c r="O47" s="13"/>
      <c r="P47" s="14"/>
    </row>
    <row r="48" spans="1:16" ht="12.75" customHeight="1">
      <c r="A48" s="61" t="s">
        <v>225</v>
      </c>
      <c r="B48" s="13"/>
      <c r="C48" s="13"/>
      <c r="D48" s="13"/>
      <c r="E48" s="13"/>
      <c r="F48" s="13"/>
      <c r="G48" s="13"/>
      <c r="H48" s="13"/>
      <c r="I48" s="29"/>
      <c r="J48" s="14"/>
      <c r="K48" s="13"/>
      <c r="L48" s="16" t="s">
        <v>58</v>
      </c>
      <c r="M48" s="170">
        <v>-3678</v>
      </c>
      <c r="N48" s="13"/>
      <c r="O48" s="13"/>
      <c r="P48" s="14"/>
    </row>
    <row r="49" spans="1:16" ht="12.75" customHeight="1">
      <c r="A49" s="61" t="s">
        <v>75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5" t="s">
        <v>58</v>
      </c>
      <c r="M49" s="36">
        <v>-378.75</v>
      </c>
      <c r="N49" s="15"/>
      <c r="O49" s="15"/>
      <c r="P49" s="83">
        <f>SUM(M45:M49)</f>
        <v>-142291</v>
      </c>
    </row>
    <row r="50" spans="1:16" ht="6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N50" s="6"/>
      <c r="O50" s="6"/>
      <c r="P50" s="6"/>
    </row>
    <row r="51" spans="1:16" ht="12.75" customHeight="1">
      <c r="A51" s="5" t="s">
        <v>383</v>
      </c>
      <c r="B51" s="5"/>
      <c r="C51" s="5"/>
      <c r="D51" s="6"/>
      <c r="E51" s="6"/>
      <c r="F51" s="6"/>
      <c r="G51" s="6"/>
      <c r="H51" s="6"/>
      <c r="I51" s="6"/>
      <c r="J51" s="6"/>
      <c r="K51" s="6"/>
      <c r="L51" s="6"/>
      <c r="M51" s="7"/>
      <c r="N51" s="6"/>
      <c r="O51" s="10" t="s">
        <v>58</v>
      </c>
      <c r="P51" s="34">
        <f>SUM(P36:P49)</f>
        <v>-182485.07</v>
      </c>
    </row>
    <row r="52" spans="1:16" ht="12.75" customHeight="1">
      <c r="A52" s="5"/>
      <c r="B52" s="5"/>
      <c r="C52" s="5"/>
      <c r="D52" s="6"/>
      <c r="E52" s="6"/>
      <c r="F52" s="6"/>
      <c r="G52" s="6"/>
      <c r="H52" s="6"/>
      <c r="I52" s="6"/>
      <c r="J52" s="6"/>
      <c r="K52" s="6"/>
      <c r="L52" s="6"/>
      <c r="M52" s="7"/>
      <c r="N52" s="6"/>
      <c r="O52" s="10"/>
      <c r="P52" s="34"/>
    </row>
    <row r="53" spans="1:16" ht="12.75" customHeight="1">
      <c r="A53" s="5" t="s">
        <v>384</v>
      </c>
      <c r="B53" s="5"/>
      <c r="C53" s="5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7"/>
    </row>
    <row r="54" spans="1:16" ht="6" customHeight="1">
      <c r="A54" s="5"/>
      <c r="B54" s="5"/>
      <c r="C54" s="5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7"/>
    </row>
    <row r="55" spans="1:16" ht="12.75" customHeight="1">
      <c r="A55" s="6" t="s">
        <v>216</v>
      </c>
      <c r="B55" s="6">
        <v>6</v>
      </c>
      <c r="C55" s="6" t="s">
        <v>217</v>
      </c>
      <c r="D55" s="6">
        <v>12</v>
      </c>
      <c r="E55" s="6" t="s">
        <v>218</v>
      </c>
      <c r="F55" s="61">
        <v>612</v>
      </c>
      <c r="G55" s="6" t="s">
        <v>107</v>
      </c>
      <c r="H55" s="6" t="s">
        <v>219</v>
      </c>
      <c r="I55" s="6" t="s">
        <v>58</v>
      </c>
      <c r="J55" s="28">
        <v>83</v>
      </c>
      <c r="K55" s="6"/>
      <c r="L55" s="6" t="s">
        <v>58</v>
      </c>
      <c r="M55" s="73">
        <f>B55/D55*F55*J55</f>
        <v>25398</v>
      </c>
      <c r="N55" s="6"/>
      <c r="O55" s="6"/>
      <c r="P55" s="7"/>
    </row>
    <row r="56" spans="1:16" ht="12.75" customHeight="1">
      <c r="A56" s="6" t="s">
        <v>224</v>
      </c>
      <c r="B56" s="6">
        <v>6</v>
      </c>
      <c r="C56" s="6" t="s">
        <v>217</v>
      </c>
      <c r="D56" s="6">
        <v>12</v>
      </c>
      <c r="E56" s="6" t="s">
        <v>218</v>
      </c>
      <c r="F56" s="61">
        <v>612</v>
      </c>
      <c r="G56" s="6" t="s">
        <v>107</v>
      </c>
      <c r="H56" s="6" t="s">
        <v>219</v>
      </c>
      <c r="I56" s="6" t="s">
        <v>58</v>
      </c>
      <c r="J56" s="28">
        <v>76</v>
      </c>
      <c r="K56" s="6"/>
      <c r="L56" s="8" t="s">
        <v>58</v>
      </c>
      <c r="M56" s="33">
        <f>B56/D56*F56*J56</f>
        <v>23256</v>
      </c>
      <c r="N56" s="6"/>
      <c r="O56" s="6" t="s">
        <v>58</v>
      </c>
      <c r="P56" s="73">
        <f>M55+M56</f>
        <v>48654</v>
      </c>
    </row>
    <row r="57" spans="1:16" ht="12.75" customHeight="1">
      <c r="A57" s="6"/>
      <c r="B57" s="6"/>
      <c r="C57" s="6"/>
      <c r="D57" s="16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7"/>
    </row>
    <row r="58" spans="1:16" ht="12.75" customHeight="1">
      <c r="A58" s="5" t="s">
        <v>385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7"/>
    </row>
    <row r="59" spans="1:16" ht="6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7"/>
    </row>
    <row r="60" spans="1:16" ht="12.75" customHeight="1">
      <c r="A60" s="61" t="s">
        <v>222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 t="s">
        <v>58</v>
      </c>
      <c r="M60" s="28">
        <v>-28412.5</v>
      </c>
      <c r="N60" s="6"/>
      <c r="O60" s="6"/>
      <c r="P60" s="7"/>
    </row>
    <row r="61" spans="1:16" ht="12.75" customHeight="1">
      <c r="A61" s="61" t="s">
        <v>223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 t="s">
        <v>58</v>
      </c>
      <c r="M61" s="28">
        <v>-35946.699999999997</v>
      </c>
      <c r="N61" s="6"/>
      <c r="O61" s="6"/>
      <c r="P61" s="7"/>
    </row>
    <row r="62" spans="1:16" ht="12.75" customHeight="1">
      <c r="A62" s="61" t="s">
        <v>221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 t="s">
        <v>58</v>
      </c>
      <c r="M62" s="28">
        <v>-7890</v>
      </c>
      <c r="N62" s="6"/>
      <c r="O62" s="6"/>
      <c r="P62" s="7"/>
    </row>
    <row r="63" spans="1:16" ht="12.75" customHeight="1">
      <c r="A63" s="61" t="s">
        <v>75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8" t="s">
        <v>58</v>
      </c>
      <c r="M63" s="36">
        <v>-326.5</v>
      </c>
      <c r="N63" s="8"/>
      <c r="O63" s="8" t="s">
        <v>58</v>
      </c>
      <c r="P63" s="33">
        <f>SUM(M60:M63)</f>
        <v>-72575.7</v>
      </c>
    </row>
    <row r="64" spans="1:16" ht="6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169"/>
      <c r="N64" s="6"/>
      <c r="O64" s="6"/>
    </row>
    <row r="65" spans="1:17" ht="12.75" customHeight="1">
      <c r="A65" s="5" t="s">
        <v>386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7"/>
      <c r="N65" s="6"/>
      <c r="O65" s="10" t="s">
        <v>58</v>
      </c>
      <c r="P65" s="84">
        <f>SUM(P51:P63)</f>
        <v>-206406.77000000002</v>
      </c>
    </row>
    <row r="66" spans="1:17" ht="12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7"/>
      <c r="N66" s="6"/>
      <c r="O66" s="6"/>
      <c r="P66" s="6"/>
    </row>
    <row r="68" spans="1:17">
      <c r="A68" s="191" t="str">
        <f>Beregningsskema!H29</f>
        <v>Aarhus, den  03. 9. 2016</v>
      </c>
      <c r="B68" s="191"/>
      <c r="C68" s="191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</row>
    <row r="70" spans="1:17">
      <c r="A70" s="192" t="s">
        <v>61</v>
      </c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</row>
  </sheetData>
  <mergeCells count="2">
    <mergeCell ref="A68:Q68"/>
    <mergeCell ref="A70:Q70"/>
  </mergeCells>
  <phoneticPr fontId="0" type="noConversion"/>
  <pageMargins left="0.78" right="0.28000000000000003" top="0.4" bottom="0.37" header="0.2" footer="0.17"/>
  <pageSetup paperSize="9" orientation="portrait" r:id="rId1"/>
  <headerFooter alignWithMargins="0">
    <oddHeader>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70"/>
  <sheetViews>
    <sheetView topLeftCell="A7" workbookViewId="0">
      <selection activeCell="M50" sqref="M50"/>
    </sheetView>
  </sheetViews>
  <sheetFormatPr defaultRowHeight="12.75"/>
  <cols>
    <col min="2" max="2" width="2.7109375" customWidth="1"/>
    <col min="3" max="3" width="1.85546875" customWidth="1"/>
    <col min="4" max="4" width="2.85546875" customWidth="1"/>
    <col min="5" max="5" width="2.42578125" customWidth="1"/>
    <col min="6" max="6" width="4.85546875" customWidth="1"/>
    <col min="7" max="7" width="5" customWidth="1"/>
    <col min="8" max="8" width="2.140625" customWidth="1"/>
    <col min="9" max="9" width="2.85546875" customWidth="1"/>
    <col min="10" max="10" width="8.42578125" customWidth="1"/>
    <col min="11" max="11" width="5" customWidth="1"/>
    <col min="12" max="12" width="3.140625" customWidth="1"/>
    <col min="13" max="13" width="13.7109375" customWidth="1"/>
    <col min="14" max="14" width="2.85546875" customWidth="1"/>
    <col min="15" max="15" width="3.42578125" customWidth="1"/>
    <col min="16" max="16" width="13.7109375" customWidth="1"/>
  </cols>
  <sheetData>
    <row r="2" spans="1:16" ht="15.75">
      <c r="A2" s="2" t="s">
        <v>215</v>
      </c>
      <c r="B2" s="2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>
      <c r="A3" s="21" t="str">
        <f>CONCATENATE([1]Beregningsskema!I2,[1]Beregningsskema!N2)</f>
        <v>Vimmersvej 4, 8000 Århus C.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5.75">
      <c r="A4" s="4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.75">
      <c r="A5" s="4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>
      <c r="A6" s="5" t="s">
        <v>393</v>
      </c>
      <c r="B6" s="5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 t="s">
        <v>58</v>
      </c>
      <c r="P6" s="175">
        <f>'Vedligehold.regnskab 2011-2013'!P65</f>
        <v>-206406.77000000002</v>
      </c>
    </row>
    <row r="7" spans="1:16" ht="6" customHeight="1">
      <c r="A7" s="5"/>
      <c r="B7" s="5"/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7"/>
    </row>
    <row r="8" spans="1:16">
      <c r="A8" s="5" t="s">
        <v>394</v>
      </c>
      <c r="B8" s="5"/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7"/>
    </row>
    <row r="9" spans="1:16" ht="4.5" customHeight="1">
      <c r="A9" s="5"/>
      <c r="B9" s="5"/>
      <c r="C9" s="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7"/>
    </row>
    <row r="10" spans="1:16">
      <c r="A10" s="13" t="s">
        <v>216</v>
      </c>
      <c r="B10" s="13">
        <v>6</v>
      </c>
      <c r="C10" s="13" t="s">
        <v>217</v>
      </c>
      <c r="D10" s="13">
        <v>12</v>
      </c>
      <c r="E10" s="13" t="s">
        <v>218</v>
      </c>
      <c r="F10" s="171">
        <v>612</v>
      </c>
      <c r="G10" s="13" t="s">
        <v>107</v>
      </c>
      <c r="H10" s="13" t="s">
        <v>219</v>
      </c>
      <c r="I10" s="13" t="s">
        <v>58</v>
      </c>
      <c r="J10" s="28">
        <v>83</v>
      </c>
      <c r="K10" s="13"/>
      <c r="L10" s="13" t="s">
        <v>58</v>
      </c>
      <c r="M10" s="73">
        <f>B10/D10*F10*J10</f>
        <v>25398</v>
      </c>
      <c r="N10" s="13"/>
      <c r="O10" s="13"/>
      <c r="P10" s="14"/>
    </row>
    <row r="11" spans="1:16">
      <c r="A11" s="13" t="s">
        <v>220</v>
      </c>
      <c r="B11" s="13">
        <v>6</v>
      </c>
      <c r="C11" s="13" t="s">
        <v>217</v>
      </c>
      <c r="D11" s="13">
        <v>12</v>
      </c>
      <c r="E11" s="13" t="s">
        <v>122</v>
      </c>
      <c r="F11" s="171">
        <v>612</v>
      </c>
      <c r="G11" s="13" t="s">
        <v>107</v>
      </c>
      <c r="H11" s="13" t="s">
        <v>219</v>
      </c>
      <c r="I11" s="13" t="s">
        <v>58</v>
      </c>
      <c r="J11" s="28">
        <v>76</v>
      </c>
      <c r="K11" s="13"/>
      <c r="L11" s="15" t="s">
        <v>58</v>
      </c>
      <c r="M11" s="33">
        <f>B11/D11*F11*J11</f>
        <v>23256</v>
      </c>
      <c r="N11" s="13"/>
      <c r="O11" s="13" t="s">
        <v>58</v>
      </c>
      <c r="P11" s="73">
        <f>M10+M11</f>
        <v>48654</v>
      </c>
    </row>
    <row r="12" spans="1:16">
      <c r="A12" s="5"/>
      <c r="B12" s="13"/>
      <c r="C12" s="13"/>
      <c r="D12" s="13"/>
      <c r="E12" s="13"/>
      <c r="F12" s="13"/>
      <c r="G12" s="13"/>
      <c r="H12" s="13"/>
      <c r="I12" s="13"/>
      <c r="J12" s="14"/>
      <c r="K12" s="13"/>
      <c r="L12" s="16"/>
      <c r="M12" s="17"/>
      <c r="N12" s="13"/>
      <c r="O12" s="13"/>
      <c r="P12" s="14"/>
    </row>
    <row r="13" spans="1:16">
      <c r="A13" s="5" t="s">
        <v>395</v>
      </c>
      <c r="B13" s="13"/>
      <c r="C13" s="13"/>
      <c r="D13" s="13"/>
      <c r="E13" s="13"/>
      <c r="F13" s="13"/>
      <c r="G13" s="13"/>
      <c r="H13" s="13"/>
      <c r="I13" s="13"/>
      <c r="J13" s="14"/>
      <c r="K13" s="13"/>
      <c r="L13" s="16"/>
      <c r="M13" s="17"/>
      <c r="N13" s="13"/>
      <c r="O13" s="13"/>
      <c r="P13" s="14"/>
    </row>
    <row r="14" spans="1:16" ht="4.5" customHeight="1">
      <c r="A14" s="5"/>
      <c r="B14" s="13"/>
      <c r="C14" s="13"/>
      <c r="D14" s="13"/>
      <c r="E14" s="13"/>
      <c r="F14" s="13"/>
      <c r="G14" s="13"/>
      <c r="H14" s="13"/>
      <c r="I14" s="13"/>
      <c r="J14" s="14"/>
      <c r="K14" s="13"/>
      <c r="L14" s="16"/>
      <c r="M14" s="17"/>
      <c r="N14" s="13"/>
      <c r="O14" s="13"/>
      <c r="P14" s="14"/>
    </row>
    <row r="15" spans="1:16">
      <c r="A15" s="61" t="s">
        <v>221</v>
      </c>
      <c r="B15" s="13"/>
      <c r="C15" s="13"/>
      <c r="D15" s="13"/>
      <c r="E15" s="13"/>
      <c r="F15" s="13"/>
      <c r="G15" s="13"/>
      <c r="H15" s="13"/>
      <c r="I15" s="13"/>
      <c r="J15" s="14"/>
      <c r="K15" s="13"/>
      <c r="L15" s="16" t="s">
        <v>58</v>
      </c>
      <c r="M15" s="170">
        <v>-35783.5</v>
      </c>
      <c r="N15" s="13"/>
      <c r="O15" s="13"/>
      <c r="P15" s="14"/>
    </row>
    <row r="16" spans="1:16">
      <c r="A16" s="61" t="s">
        <v>330</v>
      </c>
      <c r="B16" s="13"/>
      <c r="C16" s="13"/>
      <c r="D16" s="13"/>
      <c r="E16" s="13"/>
      <c r="F16" s="13"/>
      <c r="G16" s="13"/>
      <c r="H16" s="13"/>
      <c r="I16" s="13"/>
      <c r="J16" s="14"/>
      <c r="K16" s="13"/>
      <c r="L16" s="16" t="s">
        <v>58</v>
      </c>
      <c r="M16" s="170">
        <v>-8378</v>
      </c>
      <c r="N16" s="13"/>
      <c r="O16" s="13"/>
      <c r="P16" s="14"/>
    </row>
    <row r="17" spans="1:16">
      <c r="A17" s="61" t="s">
        <v>222</v>
      </c>
      <c r="B17" s="13"/>
      <c r="C17" s="13"/>
      <c r="D17" s="13"/>
      <c r="E17" s="13"/>
      <c r="F17" s="13"/>
      <c r="G17" s="13"/>
      <c r="H17" s="13"/>
      <c r="I17" s="29"/>
      <c r="J17" s="14"/>
      <c r="K17" s="13"/>
      <c r="L17" s="16" t="s">
        <v>58</v>
      </c>
      <c r="M17" s="170">
        <v>-15761.75</v>
      </c>
      <c r="N17" s="13"/>
      <c r="O17" s="13"/>
      <c r="P17" s="14"/>
    </row>
    <row r="18" spans="1:16">
      <c r="A18" s="61" t="s">
        <v>225</v>
      </c>
      <c r="B18" s="13"/>
      <c r="C18" s="13"/>
      <c r="D18" s="13"/>
      <c r="E18" s="13"/>
      <c r="F18" s="13"/>
      <c r="G18" s="13"/>
      <c r="H18" s="13"/>
      <c r="I18" s="29"/>
      <c r="J18" s="14"/>
      <c r="K18" s="13"/>
      <c r="L18" s="16" t="s">
        <v>58</v>
      </c>
      <c r="M18" s="170">
        <v>-1589</v>
      </c>
      <c r="N18" s="13"/>
      <c r="O18" s="13"/>
      <c r="P18" s="14"/>
    </row>
    <row r="19" spans="1:16">
      <c r="A19" s="61" t="s">
        <v>75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5" t="s">
        <v>58</v>
      </c>
      <c r="M19" s="36">
        <v>-19.850000000000001</v>
      </c>
      <c r="N19" s="15"/>
      <c r="O19" s="15"/>
      <c r="P19" s="83">
        <f>SUM(M15:M19)</f>
        <v>-61532.1</v>
      </c>
    </row>
    <row r="20" spans="1:16" ht="3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N20" s="6"/>
      <c r="O20" s="6"/>
      <c r="P20" s="6"/>
    </row>
    <row r="21" spans="1:16">
      <c r="A21" s="5" t="s">
        <v>396</v>
      </c>
      <c r="B21" s="5"/>
      <c r="C21" s="5"/>
      <c r="D21" s="6"/>
      <c r="E21" s="6"/>
      <c r="F21" s="6"/>
      <c r="G21" s="6"/>
      <c r="H21" s="6"/>
      <c r="I21" s="6"/>
      <c r="J21" s="6"/>
      <c r="K21" s="6"/>
      <c r="L21" s="6"/>
      <c r="M21" s="7"/>
      <c r="N21" s="6"/>
      <c r="O21" s="10" t="s">
        <v>58</v>
      </c>
      <c r="P21" s="34">
        <f>SUM(P6:P19)</f>
        <v>-219284.87000000002</v>
      </c>
    </row>
    <row r="22" spans="1:16" ht="6" customHeight="1">
      <c r="A22" s="5"/>
      <c r="B22" s="5"/>
      <c r="C22" s="5"/>
      <c r="D22" s="6"/>
      <c r="E22" s="6"/>
      <c r="F22" s="6"/>
      <c r="G22" s="6"/>
      <c r="H22" s="6"/>
      <c r="I22" s="6"/>
      <c r="J22" s="6"/>
      <c r="K22" s="6"/>
      <c r="L22" s="6"/>
      <c r="M22" s="7"/>
      <c r="N22" s="6"/>
      <c r="O22" s="10"/>
      <c r="P22" s="11"/>
    </row>
    <row r="23" spans="1:16">
      <c r="A23" s="24" t="s">
        <v>424</v>
      </c>
      <c r="B23" s="5"/>
      <c r="C23" s="5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7"/>
    </row>
    <row r="24" spans="1:16" ht="4.5" customHeight="1">
      <c r="A24" s="5"/>
      <c r="B24" s="5"/>
      <c r="C24" s="5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7"/>
    </row>
    <row r="25" spans="1:16">
      <c r="A25" s="6" t="s">
        <v>216</v>
      </c>
      <c r="B25" s="6">
        <v>12</v>
      </c>
      <c r="C25" s="6" t="s">
        <v>217</v>
      </c>
      <c r="D25" s="6">
        <v>12</v>
      </c>
      <c r="E25" s="6" t="s">
        <v>218</v>
      </c>
      <c r="F25" s="61">
        <v>612</v>
      </c>
      <c r="G25" s="6" t="s">
        <v>107</v>
      </c>
      <c r="H25" s="6" t="s">
        <v>219</v>
      </c>
      <c r="I25" s="6" t="s">
        <v>58</v>
      </c>
      <c r="J25" s="28">
        <v>84</v>
      </c>
      <c r="K25" s="6"/>
      <c r="L25" s="6" t="s">
        <v>58</v>
      </c>
      <c r="M25" s="73">
        <f>B25/D25*F25*J25</f>
        <v>51408</v>
      </c>
      <c r="N25" s="6"/>
      <c r="O25" s="6"/>
      <c r="P25" s="7"/>
    </row>
    <row r="26" spans="1:16">
      <c r="A26" s="6" t="s">
        <v>224</v>
      </c>
      <c r="B26" s="6">
        <v>12</v>
      </c>
      <c r="C26" s="6" t="s">
        <v>217</v>
      </c>
      <c r="D26" s="6">
        <v>12</v>
      </c>
      <c r="E26" s="6" t="s">
        <v>218</v>
      </c>
      <c r="F26" s="61">
        <v>612</v>
      </c>
      <c r="G26" s="6" t="s">
        <v>107</v>
      </c>
      <c r="H26" s="6" t="s">
        <v>219</v>
      </c>
      <c r="I26" s="6" t="s">
        <v>58</v>
      </c>
      <c r="J26" s="28">
        <v>77</v>
      </c>
      <c r="K26" s="6"/>
      <c r="L26" s="8" t="s">
        <v>58</v>
      </c>
      <c r="M26" s="33">
        <f>B26/D26*F26*J26</f>
        <v>47124</v>
      </c>
      <c r="N26" s="6"/>
      <c r="O26" s="6" t="s">
        <v>58</v>
      </c>
      <c r="P26" s="73">
        <f>M25+M26</f>
        <v>98532</v>
      </c>
    </row>
    <row r="27" spans="1:16">
      <c r="A27" s="6"/>
      <c r="B27" s="6"/>
      <c r="C27" s="6"/>
      <c r="D27" s="169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7"/>
    </row>
    <row r="28" spans="1:16">
      <c r="A28" s="24" t="s">
        <v>425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7"/>
    </row>
    <row r="29" spans="1:16" ht="4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7"/>
    </row>
    <row r="30" spans="1:16">
      <c r="A30" s="61" t="s">
        <v>222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 t="s">
        <v>58</v>
      </c>
      <c r="M30" s="28">
        <v>-3579.85</v>
      </c>
      <c r="N30" s="6"/>
      <c r="O30" s="6"/>
      <c r="P30" s="7"/>
    </row>
    <row r="31" spans="1:16">
      <c r="A31" s="61" t="s">
        <v>330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 t="s">
        <v>58</v>
      </c>
      <c r="M31" s="28">
        <v>-45341.5</v>
      </c>
      <c r="N31" s="6"/>
      <c r="O31" s="6"/>
      <c r="P31" s="7"/>
    </row>
    <row r="32" spans="1:16">
      <c r="A32" s="61" t="s">
        <v>223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 t="s">
        <v>58</v>
      </c>
      <c r="M32" s="28">
        <v>-17835</v>
      </c>
      <c r="N32" s="6"/>
      <c r="O32" s="6"/>
      <c r="P32" s="7"/>
    </row>
    <row r="33" spans="1:16">
      <c r="A33" s="61" t="s">
        <v>221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 t="s">
        <v>58</v>
      </c>
      <c r="M33" s="28">
        <v>-4616</v>
      </c>
      <c r="N33" s="6"/>
      <c r="O33" s="6"/>
      <c r="P33" s="7"/>
    </row>
    <row r="34" spans="1:16">
      <c r="A34" s="61" t="s">
        <v>75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8" t="s">
        <v>58</v>
      </c>
      <c r="M34" s="36">
        <v>-45</v>
      </c>
      <c r="N34" s="8"/>
      <c r="O34" s="8" t="s">
        <v>58</v>
      </c>
      <c r="P34" s="33">
        <f>SUM(M30:M34)</f>
        <v>-71417.350000000006</v>
      </c>
    </row>
    <row r="35" spans="1:16" ht="4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169"/>
      <c r="N35" s="6"/>
      <c r="O35" s="6"/>
    </row>
    <row r="36" spans="1:16">
      <c r="A36" s="24" t="s">
        <v>426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7"/>
      <c r="N36" s="6"/>
      <c r="O36" s="10" t="s">
        <v>58</v>
      </c>
      <c r="P36" s="84">
        <f>SUM(P21:P34)</f>
        <v>-192170.22000000003</v>
      </c>
    </row>
    <row r="37" spans="1:16" ht="6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7"/>
      <c r="N37" s="6"/>
      <c r="O37" s="6"/>
      <c r="P37" s="6"/>
    </row>
    <row r="38" spans="1:16" ht="12.75" customHeight="1">
      <c r="A38" s="24" t="s">
        <v>427</v>
      </c>
      <c r="B38" s="5"/>
      <c r="C38" s="5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7"/>
    </row>
    <row r="39" spans="1:16" ht="4.5" customHeight="1">
      <c r="A39" s="5"/>
      <c r="B39" s="5"/>
      <c r="C39" s="5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7"/>
    </row>
    <row r="40" spans="1:16" ht="12.75" customHeight="1">
      <c r="A40" s="13" t="s">
        <v>216</v>
      </c>
      <c r="B40" s="13">
        <v>6</v>
      </c>
      <c r="C40" s="13" t="s">
        <v>217</v>
      </c>
      <c r="D40" s="13">
        <v>12</v>
      </c>
      <c r="E40" s="13" t="s">
        <v>218</v>
      </c>
      <c r="F40" s="171">
        <v>612</v>
      </c>
      <c r="G40" s="13" t="s">
        <v>107</v>
      </c>
      <c r="H40" s="13" t="s">
        <v>219</v>
      </c>
      <c r="I40" s="13" t="s">
        <v>58</v>
      </c>
      <c r="J40" s="28">
        <v>84</v>
      </c>
      <c r="K40" s="13"/>
      <c r="L40" s="13" t="s">
        <v>58</v>
      </c>
      <c r="M40" s="73">
        <f>B40/D40*F40*J40</f>
        <v>25704</v>
      </c>
      <c r="N40" s="13"/>
      <c r="O40" s="13"/>
      <c r="P40" s="14"/>
    </row>
    <row r="41" spans="1:16" ht="12.75" customHeight="1">
      <c r="A41" s="13" t="s">
        <v>220</v>
      </c>
      <c r="B41" s="13">
        <v>6</v>
      </c>
      <c r="C41" s="13" t="s">
        <v>217</v>
      </c>
      <c r="D41" s="13">
        <v>12</v>
      </c>
      <c r="E41" s="13" t="s">
        <v>122</v>
      </c>
      <c r="F41" s="171">
        <v>612</v>
      </c>
      <c r="G41" s="13" t="s">
        <v>107</v>
      </c>
      <c r="H41" s="13" t="s">
        <v>219</v>
      </c>
      <c r="I41" s="13" t="s">
        <v>58</v>
      </c>
      <c r="J41" s="28">
        <v>78</v>
      </c>
      <c r="K41" s="13"/>
      <c r="L41" s="15" t="s">
        <v>58</v>
      </c>
      <c r="M41" s="33">
        <f>B41/D41*F41*J41</f>
        <v>23868</v>
      </c>
      <c r="N41" s="13"/>
      <c r="O41" s="13" t="s">
        <v>58</v>
      </c>
      <c r="P41" s="73">
        <f>M40+M41</f>
        <v>49572</v>
      </c>
    </row>
    <row r="42" spans="1:16" ht="12.75" customHeight="1">
      <c r="A42" s="5"/>
      <c r="B42" s="13"/>
      <c r="C42" s="13"/>
      <c r="D42" s="13"/>
      <c r="E42" s="13"/>
      <c r="F42" s="13"/>
      <c r="G42" s="13"/>
      <c r="H42" s="13"/>
      <c r="I42" s="13"/>
      <c r="J42" s="14"/>
      <c r="K42" s="13"/>
      <c r="L42" s="16"/>
      <c r="M42" s="17"/>
      <c r="N42" s="13"/>
      <c r="O42" s="13"/>
      <c r="P42" s="14"/>
    </row>
    <row r="43" spans="1:16" ht="12.75" customHeight="1">
      <c r="A43" s="24" t="s">
        <v>428</v>
      </c>
      <c r="B43" s="13"/>
      <c r="C43" s="13"/>
      <c r="D43" s="13"/>
      <c r="E43" s="13"/>
      <c r="F43" s="13"/>
      <c r="G43" s="13"/>
      <c r="H43" s="13"/>
      <c r="I43" s="13"/>
      <c r="J43" s="14"/>
      <c r="K43" s="13"/>
      <c r="L43" s="16"/>
      <c r="M43" s="17"/>
      <c r="N43" s="13"/>
      <c r="O43" s="13"/>
      <c r="P43" s="14"/>
    </row>
    <row r="44" spans="1:16" ht="4.5" customHeight="1">
      <c r="A44" s="5"/>
      <c r="B44" s="13"/>
      <c r="C44" s="13"/>
      <c r="D44" s="13"/>
      <c r="E44" s="13"/>
      <c r="F44" s="13"/>
      <c r="G44" s="13"/>
      <c r="H44" s="13"/>
      <c r="I44" s="13"/>
      <c r="J44" s="14"/>
      <c r="K44" s="13"/>
      <c r="L44" s="16"/>
      <c r="M44" s="17"/>
      <c r="N44" s="13"/>
      <c r="O44" s="13"/>
      <c r="P44" s="14"/>
    </row>
    <row r="45" spans="1:16" ht="12.75" customHeight="1">
      <c r="A45" s="61" t="s">
        <v>221</v>
      </c>
      <c r="B45" s="13"/>
      <c r="C45" s="13"/>
      <c r="D45" s="13"/>
      <c r="E45" s="13"/>
      <c r="F45" s="13"/>
      <c r="G45" s="13"/>
      <c r="H45" s="13"/>
      <c r="I45" s="13"/>
      <c r="J45" s="14"/>
      <c r="K45" s="13"/>
      <c r="L45" s="16" t="s">
        <v>58</v>
      </c>
      <c r="M45" s="170">
        <v>-4580</v>
      </c>
      <c r="N45" s="13"/>
      <c r="O45" s="13"/>
      <c r="P45" s="14"/>
    </row>
    <row r="46" spans="1:16" ht="12.75" customHeight="1">
      <c r="A46" s="61" t="s">
        <v>330</v>
      </c>
      <c r="B46" s="13"/>
      <c r="C46" s="13"/>
      <c r="D46" s="13"/>
      <c r="E46" s="13"/>
      <c r="F46" s="13"/>
      <c r="G46" s="13"/>
      <c r="H46" s="13"/>
      <c r="I46" s="13"/>
      <c r="J46" s="14"/>
      <c r="K46" s="13"/>
      <c r="L46" s="16" t="s">
        <v>58</v>
      </c>
      <c r="M46" s="170">
        <v>-1640</v>
      </c>
      <c r="N46" s="13"/>
      <c r="O46" s="13"/>
      <c r="P46" s="14"/>
    </row>
    <row r="47" spans="1:16" ht="12.75" customHeight="1">
      <c r="A47" s="61" t="s">
        <v>222</v>
      </c>
      <c r="B47" s="13"/>
      <c r="C47" s="13"/>
      <c r="D47" s="13"/>
      <c r="E47" s="13"/>
      <c r="F47" s="13"/>
      <c r="G47" s="13"/>
      <c r="H47" s="13"/>
      <c r="I47" s="29"/>
      <c r="J47" s="14"/>
      <c r="K47" s="13"/>
      <c r="L47" s="16" t="s">
        <v>58</v>
      </c>
      <c r="M47" s="170">
        <v>-3575.5</v>
      </c>
      <c r="N47" s="13"/>
      <c r="O47" s="13"/>
      <c r="P47" s="14"/>
    </row>
    <row r="48" spans="1:16" ht="12.75" customHeight="1">
      <c r="A48" s="61" t="s">
        <v>225</v>
      </c>
      <c r="B48" s="13"/>
      <c r="C48" s="13"/>
      <c r="D48" s="13"/>
      <c r="E48" s="13"/>
      <c r="F48" s="13"/>
      <c r="G48" s="13"/>
      <c r="H48" s="13"/>
      <c r="I48" s="29"/>
      <c r="J48" s="14"/>
      <c r="K48" s="13"/>
      <c r="L48" s="16" t="s">
        <v>58</v>
      </c>
      <c r="M48" s="170">
        <v>-1349</v>
      </c>
      <c r="N48" s="13"/>
      <c r="O48" s="13"/>
      <c r="P48" s="14"/>
    </row>
    <row r="49" spans="1:16" ht="12.75" customHeight="1">
      <c r="A49" s="61" t="s">
        <v>75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5" t="s">
        <v>58</v>
      </c>
      <c r="M49" s="36">
        <v>-215</v>
      </c>
      <c r="N49" s="15"/>
      <c r="O49" s="15"/>
      <c r="P49" s="83">
        <f>SUM(M45:M49)</f>
        <v>-11359.5</v>
      </c>
    </row>
    <row r="50" spans="1:16" ht="12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N50" s="6"/>
      <c r="O50" s="6"/>
      <c r="P50" s="6"/>
    </row>
    <row r="51" spans="1:16" ht="12.75" customHeight="1">
      <c r="A51" s="24" t="s">
        <v>429</v>
      </c>
      <c r="B51" s="5"/>
      <c r="C51" s="5"/>
      <c r="D51" s="6"/>
      <c r="E51" s="6"/>
      <c r="F51" s="6"/>
      <c r="G51" s="6"/>
      <c r="H51" s="6"/>
      <c r="I51" s="6"/>
      <c r="J51" s="6"/>
      <c r="K51" s="6"/>
      <c r="L51" s="6"/>
      <c r="M51" s="7"/>
      <c r="N51" s="6"/>
      <c r="O51" s="10" t="s">
        <v>58</v>
      </c>
      <c r="P51" s="34">
        <f>SUM(P36:P49)</f>
        <v>-153957.72000000003</v>
      </c>
    </row>
    <row r="52" spans="1:16" ht="12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7"/>
      <c r="N52" s="6"/>
      <c r="O52" s="6"/>
      <c r="P52" s="6"/>
    </row>
    <row r="53" spans="1:16" ht="12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7"/>
      <c r="N53" s="6"/>
      <c r="O53" s="6"/>
      <c r="P53" s="6"/>
    </row>
    <row r="54" spans="1:16" ht="12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7"/>
      <c r="N54" s="6"/>
      <c r="O54" s="6"/>
      <c r="P54" s="6"/>
    </row>
    <row r="55" spans="1:16" ht="12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7"/>
      <c r="N55" s="6"/>
      <c r="O55" s="6"/>
      <c r="P55" s="6"/>
    </row>
    <row r="56" spans="1:16" ht="12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7"/>
      <c r="N56" s="6"/>
      <c r="O56" s="6"/>
      <c r="P56" s="6"/>
    </row>
    <row r="57" spans="1:16" ht="12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7"/>
      <c r="N57" s="6"/>
      <c r="O57" s="6"/>
      <c r="P57" s="6"/>
    </row>
    <row r="58" spans="1:16" ht="12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7"/>
      <c r="N58" s="6"/>
      <c r="O58" s="6"/>
      <c r="P58" s="6"/>
    </row>
    <row r="59" spans="1:16" ht="12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7"/>
      <c r="N59" s="6"/>
      <c r="O59" s="6"/>
      <c r="P59" s="6"/>
    </row>
    <row r="60" spans="1:16" ht="12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7"/>
      <c r="N60" s="6"/>
      <c r="O60" s="6"/>
      <c r="P60" s="6"/>
    </row>
    <row r="61" spans="1:16" ht="12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7"/>
      <c r="N61" s="6"/>
      <c r="O61" s="6"/>
      <c r="P61" s="6"/>
    </row>
    <row r="62" spans="1:16" ht="12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7"/>
      <c r="N62" s="6"/>
      <c r="O62" s="6"/>
      <c r="P62" s="6"/>
    </row>
    <row r="63" spans="1:16" ht="12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7"/>
      <c r="N63" s="6"/>
      <c r="O63" s="6"/>
      <c r="P63" s="6"/>
    </row>
    <row r="64" spans="1:16" ht="12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7"/>
      <c r="N64" s="6"/>
      <c r="O64" s="6"/>
      <c r="P64" s="6"/>
    </row>
    <row r="65" spans="1:17" ht="12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7"/>
      <c r="N65" s="6"/>
      <c r="O65" s="6"/>
      <c r="P65" s="6"/>
    </row>
    <row r="67" spans="1:17">
      <c r="A67" s="191" t="str">
        <f>Beregningsskema!H29</f>
        <v>Aarhus, den  03. 9. 2016</v>
      </c>
      <c r="B67" s="191"/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</row>
    <row r="68" spans="1:17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70" spans="1:17">
      <c r="A70" s="192" t="s">
        <v>61</v>
      </c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</row>
  </sheetData>
  <mergeCells count="2">
    <mergeCell ref="A67:Q67"/>
    <mergeCell ref="A70:Q70"/>
  </mergeCells>
  <phoneticPr fontId="0" type="noConversion"/>
  <pageMargins left="0.78" right="0.28000000000000003" top="0.4" bottom="0.37" header="0.2" footer="0.17"/>
  <pageSetup paperSize="9" orientation="portrait" r:id="rId1"/>
  <headerFooter alignWithMargins="0">
    <oddHeader>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3"/>
  <sheetViews>
    <sheetView workbookViewId="0">
      <selection activeCell="M35" sqref="M35"/>
    </sheetView>
  </sheetViews>
  <sheetFormatPr defaultRowHeight="12.75"/>
  <cols>
    <col min="2" max="2" width="2.7109375" customWidth="1"/>
    <col min="3" max="3" width="1.85546875" customWidth="1"/>
    <col min="4" max="4" width="2.85546875" customWidth="1"/>
    <col min="5" max="5" width="2.42578125" customWidth="1"/>
    <col min="6" max="6" width="4.85546875" customWidth="1"/>
    <col min="7" max="7" width="5" customWidth="1"/>
    <col min="8" max="8" width="2.140625" customWidth="1"/>
    <col min="9" max="9" width="2.85546875" customWidth="1"/>
    <col min="10" max="10" width="8.42578125" customWidth="1"/>
    <col min="11" max="11" width="5" customWidth="1"/>
    <col min="12" max="12" width="3.140625" customWidth="1"/>
    <col min="13" max="13" width="13.7109375" customWidth="1"/>
    <col min="14" max="14" width="2.85546875" customWidth="1"/>
    <col min="15" max="15" width="3.42578125" customWidth="1"/>
    <col min="16" max="16" width="13.7109375" customWidth="1"/>
  </cols>
  <sheetData>
    <row r="2" spans="1:16" ht="15.75">
      <c r="A2" s="2" t="s">
        <v>215</v>
      </c>
      <c r="B2" s="2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>
      <c r="A3" s="21" t="str">
        <f>CONCATENATE([1]Beregningsskema!I2,[1]Beregningsskema!N2)</f>
        <v>Vimmersvej 4, 8000 Århus C.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5.75">
      <c r="A4" s="4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.75">
      <c r="A5" s="4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>
      <c r="A6" s="24" t="s">
        <v>430</v>
      </c>
      <c r="B6" s="5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 t="s">
        <v>58</v>
      </c>
      <c r="P6" s="175">
        <f>'Vedligehold.regnskab 2013-2015'!P51</f>
        <v>-153957.72000000003</v>
      </c>
    </row>
    <row r="7" spans="1:16" ht="6" customHeight="1">
      <c r="A7" s="5"/>
      <c r="B7" s="5"/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7"/>
    </row>
    <row r="8" spans="1:16">
      <c r="A8" s="24" t="s">
        <v>431</v>
      </c>
      <c r="B8" s="5"/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7"/>
    </row>
    <row r="9" spans="1:16" ht="4.5" customHeight="1">
      <c r="A9" s="5"/>
      <c r="B9" s="5"/>
      <c r="C9" s="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7"/>
    </row>
    <row r="10" spans="1:16">
      <c r="A10" s="13" t="s">
        <v>216</v>
      </c>
      <c r="B10" s="13">
        <v>6</v>
      </c>
      <c r="C10" s="13" t="s">
        <v>217</v>
      </c>
      <c r="D10" s="13">
        <v>12</v>
      </c>
      <c r="E10" s="13" t="s">
        <v>218</v>
      </c>
      <c r="F10" s="171">
        <v>612</v>
      </c>
      <c r="G10" s="13" t="s">
        <v>107</v>
      </c>
      <c r="H10" s="13" t="s">
        <v>219</v>
      </c>
      <c r="I10" s="13" t="s">
        <v>58</v>
      </c>
      <c r="J10" s="28">
        <v>84</v>
      </c>
      <c r="K10" s="13"/>
      <c r="L10" s="13" t="s">
        <v>58</v>
      </c>
      <c r="M10" s="73">
        <f>B10/D10*F10*J10</f>
        <v>25704</v>
      </c>
      <c r="N10" s="13"/>
      <c r="O10" s="13"/>
      <c r="P10" s="14"/>
    </row>
    <row r="11" spans="1:16">
      <c r="A11" s="13" t="s">
        <v>220</v>
      </c>
      <c r="B11" s="13">
        <v>6</v>
      </c>
      <c r="C11" s="13" t="s">
        <v>217</v>
      </c>
      <c r="D11" s="13">
        <v>12</v>
      </c>
      <c r="E11" s="13" t="s">
        <v>122</v>
      </c>
      <c r="F11" s="171">
        <v>612</v>
      </c>
      <c r="G11" s="13" t="s">
        <v>107</v>
      </c>
      <c r="H11" s="13" t="s">
        <v>219</v>
      </c>
      <c r="I11" s="13" t="s">
        <v>58</v>
      </c>
      <c r="J11" s="28">
        <v>78</v>
      </c>
      <c r="K11" s="13"/>
      <c r="L11" s="15" t="s">
        <v>58</v>
      </c>
      <c r="M11" s="33">
        <f>B11/D11*F11*J11</f>
        <v>23868</v>
      </c>
      <c r="N11" s="13"/>
      <c r="O11" s="13" t="s">
        <v>58</v>
      </c>
      <c r="P11" s="73">
        <f>M10+M11</f>
        <v>49572</v>
      </c>
    </row>
    <row r="12" spans="1:16">
      <c r="A12" s="5"/>
      <c r="B12" s="13"/>
      <c r="C12" s="13"/>
      <c r="D12" s="13"/>
      <c r="E12" s="13"/>
      <c r="F12" s="13"/>
      <c r="G12" s="13"/>
      <c r="H12" s="13"/>
      <c r="I12" s="13"/>
      <c r="J12" s="14"/>
      <c r="K12" s="13"/>
      <c r="L12" s="16"/>
      <c r="M12" s="17"/>
      <c r="N12" s="13"/>
      <c r="O12" s="13"/>
      <c r="P12" s="14"/>
    </row>
    <row r="13" spans="1:16">
      <c r="A13" s="24" t="s">
        <v>432</v>
      </c>
      <c r="B13" s="13"/>
      <c r="C13" s="13"/>
      <c r="D13" s="13"/>
      <c r="E13" s="13"/>
      <c r="F13" s="13"/>
      <c r="G13" s="13"/>
      <c r="H13" s="13"/>
      <c r="I13" s="13"/>
      <c r="J13" s="14"/>
      <c r="K13" s="13"/>
      <c r="L13" s="16"/>
      <c r="M13" s="17"/>
      <c r="N13" s="13"/>
      <c r="O13" s="13"/>
      <c r="P13" s="14"/>
    </row>
    <row r="14" spans="1:16" ht="4.5" customHeight="1">
      <c r="A14" s="5"/>
      <c r="B14" s="13"/>
      <c r="C14" s="13"/>
      <c r="D14" s="13"/>
      <c r="E14" s="13"/>
      <c r="F14" s="13"/>
      <c r="G14" s="13"/>
      <c r="H14" s="13"/>
      <c r="I14" s="13"/>
      <c r="J14" s="14"/>
      <c r="K14" s="13"/>
      <c r="L14" s="16"/>
      <c r="M14" s="17"/>
      <c r="N14" s="13"/>
      <c r="O14" s="13"/>
      <c r="P14" s="14"/>
    </row>
    <row r="15" spans="1:16">
      <c r="A15" s="61" t="s">
        <v>221</v>
      </c>
      <c r="B15" s="13"/>
      <c r="C15" s="13"/>
      <c r="D15" s="13"/>
      <c r="E15" s="13"/>
      <c r="F15" s="13"/>
      <c r="G15" s="13"/>
      <c r="H15" s="13"/>
      <c r="I15" s="13"/>
      <c r="J15" s="14"/>
      <c r="K15" s="13"/>
      <c r="L15" s="16" t="s">
        <v>58</v>
      </c>
      <c r="M15" s="170">
        <v>-78914.25</v>
      </c>
      <c r="N15" s="13"/>
      <c r="O15" s="13"/>
      <c r="P15" s="14"/>
    </row>
    <row r="16" spans="1:16">
      <c r="A16" s="61" t="s">
        <v>330</v>
      </c>
      <c r="B16" s="13"/>
      <c r="C16" s="13"/>
      <c r="D16" s="13"/>
      <c r="E16" s="13"/>
      <c r="F16" s="13"/>
      <c r="G16" s="13"/>
      <c r="H16" s="13"/>
      <c r="I16" s="13"/>
      <c r="J16" s="14"/>
      <c r="K16" s="13"/>
      <c r="L16" s="16" t="s">
        <v>58</v>
      </c>
      <c r="M16" s="170">
        <v>-6725.6</v>
      </c>
      <c r="N16" s="13"/>
      <c r="O16" s="13"/>
      <c r="P16" s="14"/>
    </row>
    <row r="17" spans="1:16">
      <c r="A17" s="61" t="s">
        <v>222</v>
      </c>
      <c r="B17" s="13"/>
      <c r="C17" s="13"/>
      <c r="D17" s="13"/>
      <c r="E17" s="13"/>
      <c r="F17" s="13"/>
      <c r="G17" s="13"/>
      <c r="H17" s="13"/>
      <c r="I17" s="29"/>
      <c r="J17" s="14"/>
      <c r="K17" s="13"/>
      <c r="L17" s="16" t="s">
        <v>58</v>
      </c>
      <c r="M17" s="170">
        <v>-21457.4</v>
      </c>
      <c r="N17" s="13"/>
      <c r="O17" s="13"/>
      <c r="P17" s="14"/>
    </row>
    <row r="18" spans="1:16">
      <c r="A18" s="61" t="s">
        <v>225</v>
      </c>
      <c r="B18" s="13"/>
      <c r="C18" s="13"/>
      <c r="D18" s="13"/>
      <c r="E18" s="13"/>
      <c r="F18" s="13"/>
      <c r="G18" s="13"/>
      <c r="H18" s="13"/>
      <c r="I18" s="29"/>
      <c r="J18" s="14"/>
      <c r="K18" s="13"/>
      <c r="L18" s="16" t="s">
        <v>58</v>
      </c>
      <c r="M18" s="170">
        <v>-3785.25</v>
      </c>
      <c r="N18" s="13"/>
      <c r="O18" s="13"/>
      <c r="P18" s="14"/>
    </row>
    <row r="19" spans="1:16">
      <c r="A19" s="61" t="s">
        <v>75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5" t="s">
        <v>58</v>
      </c>
      <c r="M19" s="36">
        <v>-123</v>
      </c>
      <c r="N19" s="15"/>
      <c r="O19" s="15"/>
      <c r="P19" s="83">
        <f>SUM(M15:M19)</f>
        <v>-111005.5</v>
      </c>
    </row>
    <row r="20" spans="1:16" ht="3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N20" s="6"/>
      <c r="O20" s="6"/>
      <c r="P20" s="6"/>
    </row>
    <row r="21" spans="1:16">
      <c r="A21" s="24" t="s">
        <v>433</v>
      </c>
      <c r="B21" s="5"/>
      <c r="C21" s="5"/>
      <c r="D21" s="6"/>
      <c r="E21" s="6"/>
      <c r="F21" s="6"/>
      <c r="G21" s="6"/>
      <c r="H21" s="6"/>
      <c r="I21" s="6"/>
      <c r="J21" s="6"/>
      <c r="K21" s="6"/>
      <c r="L21" s="6"/>
      <c r="M21" s="7"/>
      <c r="N21" s="6"/>
      <c r="O21" s="10" t="s">
        <v>58</v>
      </c>
      <c r="P21" s="34">
        <f>SUM(P6:P19)</f>
        <v>-215391.22000000003</v>
      </c>
    </row>
    <row r="22" spans="1:16" ht="6" customHeight="1">
      <c r="A22" s="5"/>
      <c r="B22" s="5"/>
      <c r="C22" s="5"/>
      <c r="D22" s="6"/>
      <c r="E22" s="6"/>
      <c r="F22" s="6"/>
      <c r="G22" s="6"/>
      <c r="H22" s="6"/>
      <c r="I22" s="6"/>
      <c r="J22" s="6"/>
      <c r="K22" s="6"/>
      <c r="L22" s="6"/>
      <c r="M22" s="7"/>
      <c r="N22" s="6"/>
      <c r="O22" s="10"/>
      <c r="P22" s="11"/>
    </row>
    <row r="23" spans="1:16">
      <c r="A23" s="24" t="s">
        <v>434</v>
      </c>
      <c r="B23" s="5"/>
      <c r="C23" s="5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7"/>
    </row>
    <row r="24" spans="1:16" ht="4.5" customHeight="1">
      <c r="A24" s="5"/>
      <c r="B24" s="5"/>
      <c r="C24" s="5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7"/>
    </row>
    <row r="25" spans="1:16">
      <c r="A25" s="6" t="s">
        <v>216</v>
      </c>
      <c r="B25" s="6">
        <v>6</v>
      </c>
      <c r="C25" s="6" t="s">
        <v>217</v>
      </c>
      <c r="D25" s="6">
        <v>12</v>
      </c>
      <c r="E25" s="6" t="s">
        <v>218</v>
      </c>
      <c r="F25" s="61">
        <v>612</v>
      </c>
      <c r="G25" s="6" t="s">
        <v>107</v>
      </c>
      <c r="H25" s="6" t="s">
        <v>219</v>
      </c>
      <c r="I25" s="6" t="s">
        <v>58</v>
      </c>
      <c r="J25" s="28">
        <v>85</v>
      </c>
      <c r="K25" s="6"/>
      <c r="L25" s="6" t="s">
        <v>58</v>
      </c>
      <c r="M25" s="73">
        <f>B25/D25*F25*J25</f>
        <v>26010</v>
      </c>
      <c r="N25" s="6"/>
      <c r="O25" s="6"/>
      <c r="P25" s="7"/>
    </row>
    <row r="26" spans="1:16">
      <c r="A26" s="6" t="s">
        <v>224</v>
      </c>
      <c r="B26" s="6">
        <v>6</v>
      </c>
      <c r="C26" s="6" t="s">
        <v>217</v>
      </c>
      <c r="D26" s="6">
        <v>12</v>
      </c>
      <c r="E26" s="6" t="s">
        <v>218</v>
      </c>
      <c r="F26" s="61">
        <v>612</v>
      </c>
      <c r="G26" s="6" t="s">
        <v>107</v>
      </c>
      <c r="H26" s="6" t="s">
        <v>219</v>
      </c>
      <c r="I26" s="6" t="s">
        <v>58</v>
      </c>
      <c r="J26" s="28">
        <v>78</v>
      </c>
      <c r="K26" s="6"/>
      <c r="L26" s="8" t="s">
        <v>58</v>
      </c>
      <c r="M26" s="33">
        <f>B26/D26*F26*J26</f>
        <v>23868</v>
      </c>
      <c r="N26" s="6"/>
      <c r="O26" s="6" t="s">
        <v>58</v>
      </c>
      <c r="P26" s="73">
        <f>M25+M26</f>
        <v>49878</v>
      </c>
    </row>
    <row r="27" spans="1:16">
      <c r="A27" s="6"/>
      <c r="B27" s="6"/>
      <c r="C27" s="6"/>
      <c r="D27" s="169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7"/>
    </row>
    <row r="28" spans="1:16">
      <c r="A28" s="24" t="s">
        <v>435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7"/>
    </row>
    <row r="29" spans="1:16" ht="4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7"/>
    </row>
    <row r="30" spans="1:16">
      <c r="A30" s="61" t="s">
        <v>222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 t="s">
        <v>58</v>
      </c>
      <c r="M30" s="28">
        <v>-1635.5</v>
      </c>
      <c r="N30" s="6"/>
      <c r="O30" s="6"/>
      <c r="P30" s="7"/>
    </row>
    <row r="31" spans="1:16">
      <c r="A31" s="61" t="s">
        <v>330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 t="s">
        <v>58</v>
      </c>
      <c r="M31" s="28">
        <v>-831</v>
      </c>
      <c r="N31" s="6"/>
      <c r="O31" s="6"/>
      <c r="P31" s="7"/>
    </row>
    <row r="32" spans="1:16">
      <c r="A32" s="61" t="s">
        <v>223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 t="s">
        <v>58</v>
      </c>
      <c r="M32" s="28">
        <v>-2625.3</v>
      </c>
      <c r="N32" s="6"/>
      <c r="O32" s="6"/>
      <c r="P32" s="7"/>
    </row>
    <row r="33" spans="1:17">
      <c r="A33" s="61" t="s">
        <v>221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 t="s">
        <v>58</v>
      </c>
      <c r="M33" s="28">
        <v>-450</v>
      </c>
      <c r="N33" s="6"/>
      <c r="O33" s="6"/>
      <c r="P33" s="7"/>
    </row>
    <row r="34" spans="1:17">
      <c r="A34" s="61" t="s">
        <v>75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8" t="s">
        <v>58</v>
      </c>
      <c r="M34" s="36">
        <v>-89.5</v>
      </c>
      <c r="N34" s="8"/>
      <c r="O34" s="8" t="s">
        <v>58</v>
      </c>
      <c r="P34" s="33">
        <f>SUM(M30:M34)</f>
        <v>-5631.3</v>
      </c>
    </row>
    <row r="35" spans="1:17" ht="4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169"/>
      <c r="N35" s="6"/>
      <c r="O35" s="6"/>
    </row>
    <row r="36" spans="1:17">
      <c r="A36" s="24" t="s">
        <v>436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7"/>
      <c r="N36" s="6"/>
      <c r="O36" s="10" t="s">
        <v>58</v>
      </c>
      <c r="P36" s="84">
        <f>SUM(P21:P34)</f>
        <v>-171144.52000000002</v>
      </c>
    </row>
    <row r="37" spans="1:17" ht="6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7"/>
      <c r="N37" s="6"/>
      <c r="O37" s="6"/>
      <c r="P37" s="6"/>
    </row>
    <row r="38" spans="1:17" ht="12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7"/>
      <c r="N38" s="6"/>
      <c r="O38" s="6"/>
      <c r="P38" s="6"/>
    </row>
    <row r="40" spans="1:17">
      <c r="A40" s="191" t="str">
        <f>Beregningsskema!H29</f>
        <v>Aarhus, den  03. 9. 2016</v>
      </c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</row>
    <row r="41" spans="1:17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3" spans="1:17">
      <c r="A43" s="192" t="s">
        <v>61</v>
      </c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</row>
  </sheetData>
  <mergeCells count="2">
    <mergeCell ref="A40:Q40"/>
    <mergeCell ref="A43:Q43"/>
  </mergeCells>
  <pageMargins left="0.78" right="0.28000000000000003" top="0.4" bottom="0.37" header="0.2" footer="0.17"/>
  <pageSetup paperSize="9" orientation="portrait" r:id="rId1"/>
  <headerFooter alignWithMargins="0"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10</vt:i4>
      </vt:variant>
    </vt:vector>
  </HeadingPairs>
  <TitlesOfParts>
    <vt:vector size="10" baseType="lpstr">
      <vt:lpstr>Beregningsskema</vt:lpstr>
      <vt:lpstr>Budget</vt:lpstr>
      <vt:lpstr>Skatter</vt:lpstr>
      <vt:lpstr>Afgifter</vt:lpstr>
      <vt:lpstr>Henlæggelser</vt:lpstr>
      <vt:lpstr>Øvrige beregninger</vt:lpstr>
      <vt:lpstr>Vedligehold.regnskab 2011-2013</vt:lpstr>
      <vt:lpstr>Vedligehold.regnskab 2013-2015</vt:lpstr>
      <vt:lpstr>Vedligehold.regnskab 2015-2016</vt:lpstr>
      <vt:lpstr>Gem i ny Flettefil.xls</vt:lpstr>
    </vt:vector>
  </TitlesOfParts>
  <Company>DANUDAN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Flemming Gade</dc:creator>
  <cp:lastModifiedBy>Helle Pedersen</cp:lastModifiedBy>
  <cp:lastPrinted>2016-08-08T11:40:28Z</cp:lastPrinted>
  <dcterms:created xsi:type="dcterms:W3CDTF">1998-08-03T12:03:27Z</dcterms:created>
  <dcterms:modified xsi:type="dcterms:W3CDTF">2017-06-23T07:23:10Z</dcterms:modified>
</cp:coreProperties>
</file>